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8aac9cda15d17/Dokumenty/02 ŠVAK/3 Ostatní obce mimo ŠVAK/Mochtín/"/>
    </mc:Choice>
  </mc:AlternateContent>
  <xr:revisionPtr revIDLastSave="345" documentId="8_{5CCC01CD-0EEC-4AA7-89E1-229860B96153}" xr6:coauthVersionLast="47" xr6:coauthVersionMax="47" xr10:uidLastSave="{9C12BA0E-C381-4C46-AFF9-05B4A3C79006}"/>
  <bookViews>
    <workbookView xWindow="-75" yWindow="-16320" windowWidth="29040" windowHeight="15720" xr2:uid="{76C3813E-D00C-46DA-A493-B5AF8C798EA9}"/>
  </bookViews>
  <sheets>
    <sheet name="V Mochtín" sheetId="9" r:id="rId1"/>
    <sheet name="Předpoklady Mochtín V" sheetId="16" r:id="rId2"/>
    <sheet name="V Bystré" sheetId="25" r:id="rId3"/>
    <sheet name="Předpoklady Bystré" sheetId="26" r:id="rId4"/>
    <sheet name="V Kocourov" sheetId="13" r:id="rId5"/>
    <sheet name="Předpoklady Kocourov V" sheetId="19" r:id="rId6"/>
    <sheet name="VKV Mochtín" sheetId="15" r:id="rId7"/>
    <sheet name="Předpoklady Mochtín VKV" sheetId="17" r:id="rId8"/>
    <sheet name="VKV Srbice Hoštičky" sheetId="14" r:id="rId9"/>
    <sheet name="Předpoklady Srbice Hosticky" sheetId="18" r:id="rId10"/>
    <sheet name="&gt;&gt;podklady&gt;&gt;" sheetId="23" r:id="rId11"/>
    <sheet name="skutečné náklady 25" sheetId="27" r:id="rId12"/>
    <sheet name="skutečné náklady 23" sheetId="11" r:id="rId13"/>
    <sheet name="objemy vody" sheetId="24" r:id="rId14"/>
    <sheet name="Mochtín" sheetId="20" r:id="rId15"/>
    <sheet name="Srbice" sheetId="21" r:id="rId16"/>
    <sheet name="Hoštičky" sheetId="22" r:id="rId17"/>
  </sheets>
  <definedNames>
    <definedName name="_xlnm._FilterDatabase" localSheetId="11" hidden="1">'skutečné náklady 25'!$A$1:$M$50</definedName>
    <definedName name="_xlnm.Print_Area" localSheetId="3">'Předpoklady Bystré'!$B$1:$H$38</definedName>
    <definedName name="_xlnm.Print_Area" localSheetId="5">'Předpoklady Kocourov V'!$B$1:$H$33</definedName>
    <definedName name="_xlnm.Print_Area" localSheetId="1">'Předpoklady Mochtín V'!$B$1:$H$39</definedName>
    <definedName name="_xlnm.Print_Area" localSheetId="7">'Předpoklady Mochtín VKV'!$B$1:$I$8</definedName>
    <definedName name="_xlnm.Print_Area" localSheetId="9">'Předpoklady Srbice Hosticky'!$B$1:$I$8</definedName>
    <definedName name="_xlnm.Print_Area" localSheetId="2">'V Bystré'!$B$2:$K$52</definedName>
    <definedName name="_xlnm.Print_Area" localSheetId="4">'V Kocourov'!$B$2:$K$52</definedName>
    <definedName name="_xlnm.Print_Area" localSheetId="0">'V Mochtín'!$B$2:$K$49</definedName>
    <definedName name="_xlnm.Print_Area" localSheetId="6">'VKV Mochtín'!$B$2:$K$49</definedName>
    <definedName name="_xlnm.Print_Area" localSheetId="8">'VKV Srbice Hoštičky'!$B$2:$K$49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8" l="1"/>
  <c r="H6" i="18"/>
  <c r="H5" i="18"/>
  <c r="H8" i="18" s="1"/>
  <c r="F27" i="14"/>
  <c r="F26" i="14"/>
  <c r="F25" i="14" s="1"/>
  <c r="F33" i="14" s="1"/>
  <c r="F22" i="14"/>
  <c r="F23" i="14"/>
  <c r="F24" i="14"/>
  <c r="F21" i="14"/>
  <c r="F19" i="14"/>
  <c r="F18" i="14"/>
  <c r="F16" i="14"/>
  <c r="F15" i="14"/>
  <c r="F12" i="14"/>
  <c r="F13" i="14"/>
  <c r="F11" i="14"/>
  <c r="H6" i="17"/>
  <c r="H7" i="17"/>
  <c r="F32" i="15"/>
  <c r="F31" i="15"/>
  <c r="F30" i="15"/>
  <c r="F29" i="15"/>
  <c r="F28" i="15"/>
  <c r="F27" i="15"/>
  <c r="F26" i="15"/>
  <c r="H26" i="15" s="1"/>
  <c r="F24" i="15"/>
  <c r="F23" i="15"/>
  <c r="F22" i="15"/>
  <c r="F21" i="15"/>
  <c r="F19" i="15"/>
  <c r="F18" i="15"/>
  <c r="F16" i="15"/>
  <c r="F15" i="15"/>
  <c r="F12" i="15"/>
  <c r="F13" i="15"/>
  <c r="F11" i="15"/>
  <c r="G34" i="16"/>
  <c r="G33" i="26"/>
  <c r="G28" i="19"/>
  <c r="F35" i="13"/>
  <c r="F34" i="13"/>
  <c r="F33" i="13"/>
  <c r="F32" i="13"/>
  <c r="F31" i="13"/>
  <c r="F30" i="13"/>
  <c r="F29" i="13"/>
  <c r="F27" i="13"/>
  <c r="F26" i="13"/>
  <c r="F25" i="13"/>
  <c r="F24" i="13"/>
  <c r="F22" i="13"/>
  <c r="F21" i="13"/>
  <c r="F19" i="13"/>
  <c r="F18" i="13"/>
  <c r="F14" i="13"/>
  <c r="F15" i="13"/>
  <c r="F16" i="13"/>
  <c r="F13" i="13"/>
  <c r="H18" i="19"/>
  <c r="H19" i="19" s="1"/>
  <c r="J22" i="13" s="1"/>
  <c r="G10" i="19"/>
  <c r="H23" i="26"/>
  <c r="H24" i="26" s="1"/>
  <c r="F38" i="25"/>
  <c r="F35" i="25"/>
  <c r="F34" i="25"/>
  <c r="F33" i="25"/>
  <c r="F32" i="25"/>
  <c r="F31" i="25"/>
  <c r="F30" i="25"/>
  <c r="F29" i="25"/>
  <c r="F27" i="25"/>
  <c r="F26" i="25"/>
  <c r="F25" i="25"/>
  <c r="F24" i="25"/>
  <c r="F22" i="25"/>
  <c r="F21" i="25"/>
  <c r="F19" i="25"/>
  <c r="F18" i="25"/>
  <c r="F14" i="25"/>
  <c r="F15" i="25"/>
  <c r="F16" i="25"/>
  <c r="F13" i="25"/>
  <c r="J22" i="9"/>
  <c r="H24" i="16"/>
  <c r="H25" i="16" s="1"/>
  <c r="G24" i="16"/>
  <c r="F18" i="16"/>
  <c r="J15" i="9"/>
  <c r="F5" i="9"/>
  <c r="H5" i="9" s="1"/>
  <c r="G38" i="9"/>
  <c r="H7" i="9"/>
  <c r="F35" i="9"/>
  <c r="G35" i="9" s="1"/>
  <c r="F34" i="9"/>
  <c r="G34" i="9" s="1"/>
  <c r="F33" i="9"/>
  <c r="G33" i="9" s="1"/>
  <c r="F32" i="9"/>
  <c r="G32" i="9" s="1"/>
  <c r="F31" i="9"/>
  <c r="G31" i="9" s="1"/>
  <c r="F30" i="9"/>
  <c r="G30" i="9" s="1"/>
  <c r="F27" i="9"/>
  <c r="G27" i="9" s="1"/>
  <c r="F26" i="9"/>
  <c r="G26" i="9" s="1"/>
  <c r="F25" i="9"/>
  <c r="G25" i="9" s="1"/>
  <c r="F24" i="9"/>
  <c r="G24" i="9" s="1"/>
  <c r="F22" i="9"/>
  <c r="G22" i="9" s="1"/>
  <c r="F21" i="9"/>
  <c r="G21" i="9" s="1"/>
  <c r="F19" i="9"/>
  <c r="G19" i="9" s="1"/>
  <c r="F18" i="9"/>
  <c r="G18" i="9" s="1"/>
  <c r="F14" i="9"/>
  <c r="G14" i="9" s="1"/>
  <c r="F15" i="9"/>
  <c r="G15" i="9" s="1"/>
  <c r="F16" i="9"/>
  <c r="G16" i="9" s="1"/>
  <c r="F13" i="9"/>
  <c r="G13" i="9" s="1"/>
  <c r="J33" i="27"/>
  <c r="J32" i="27"/>
  <c r="J25" i="27"/>
  <c r="J24" i="27"/>
  <c r="J23" i="27"/>
  <c r="F29" i="9" s="1"/>
  <c r="G29" i="9" s="1"/>
  <c r="H26" i="14" l="1"/>
  <c r="F12" i="25"/>
  <c r="F17" i="25"/>
  <c r="F28" i="25"/>
  <c r="F23" i="25"/>
  <c r="F36" i="25" l="1"/>
  <c r="H5" i="14" l="1"/>
  <c r="F5" i="14"/>
  <c r="G47" i="14" s="1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49" i="14"/>
  <c r="G49" i="14" s="1"/>
  <c r="E49" i="14"/>
  <c r="D49" i="14"/>
  <c r="E47" i="14"/>
  <c r="E46" i="14"/>
  <c r="E44" i="14"/>
  <c r="E43" i="14"/>
  <c r="E41" i="14"/>
  <c r="E40" i="14"/>
  <c r="E38" i="14"/>
  <c r="E37" i="14"/>
  <c r="E36" i="14"/>
  <c r="E35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D35" i="14"/>
  <c r="D25" i="14"/>
  <c r="D20" i="14"/>
  <c r="D17" i="14"/>
  <c r="D14" i="14"/>
  <c r="D10" i="14"/>
  <c r="D33" i="14" s="1"/>
  <c r="E9" i="14"/>
  <c r="G9" i="14"/>
  <c r="D35" i="15"/>
  <c r="D49" i="15" s="1"/>
  <c r="E49" i="15" s="1"/>
  <c r="F35" i="15"/>
  <c r="D10" i="15"/>
  <c r="F10" i="15"/>
  <c r="D14" i="15"/>
  <c r="E14" i="15" s="1"/>
  <c r="F14" i="15"/>
  <c r="G14" i="15" s="1"/>
  <c r="D17" i="15"/>
  <c r="F17" i="15"/>
  <c r="G17" i="15" s="1"/>
  <c r="D20" i="15"/>
  <c r="F20" i="15"/>
  <c r="G20" i="15" s="1"/>
  <c r="D25" i="15"/>
  <c r="F25" i="15"/>
  <c r="G25" i="15" s="1"/>
  <c r="H5" i="15"/>
  <c r="E47" i="15"/>
  <c r="E46" i="15"/>
  <c r="E44" i="15"/>
  <c r="E43" i="15"/>
  <c r="E41" i="15"/>
  <c r="E40" i="15"/>
  <c r="E38" i="15"/>
  <c r="E37" i="15"/>
  <c r="E36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3" i="15"/>
  <c r="E12" i="15"/>
  <c r="E11" i="15"/>
  <c r="G47" i="15"/>
  <c r="G46" i="15"/>
  <c r="G44" i="15"/>
  <c r="G43" i="15"/>
  <c r="G41" i="15"/>
  <c r="G40" i="15"/>
  <c r="G38" i="15"/>
  <c r="G37" i="15"/>
  <c r="G36" i="15"/>
  <c r="G35" i="15"/>
  <c r="G32" i="15"/>
  <c r="G31" i="15"/>
  <c r="G30" i="15"/>
  <c r="G29" i="15"/>
  <c r="G28" i="15"/>
  <c r="G27" i="15"/>
  <c r="G26" i="15"/>
  <c r="G24" i="15"/>
  <c r="G23" i="15"/>
  <c r="G22" i="15"/>
  <c r="G21" i="15"/>
  <c r="G19" i="15"/>
  <c r="G18" i="15"/>
  <c r="G16" i="15"/>
  <c r="G15" i="15"/>
  <c r="G13" i="15"/>
  <c r="G12" i="15"/>
  <c r="G11" i="15"/>
  <c r="E10" i="15"/>
  <c r="E9" i="15"/>
  <c r="G9" i="15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2" i="13"/>
  <c r="E21" i="13"/>
  <c r="E20" i="13"/>
  <c r="E19" i="13"/>
  <c r="E18" i="13"/>
  <c r="E17" i="13"/>
  <c r="E16" i="13"/>
  <c r="E15" i="13"/>
  <c r="E14" i="13"/>
  <c r="E13" i="13"/>
  <c r="E12" i="13"/>
  <c r="G10" i="15" l="1"/>
  <c r="F33" i="15"/>
  <c r="G33" i="15" s="1"/>
  <c r="F49" i="15"/>
  <c r="G49" i="15" s="1"/>
  <c r="G46" i="14"/>
  <c r="E35" i="15"/>
  <c r="D33" i="15"/>
  <c r="E33" i="15" s="1"/>
  <c r="E47" i="9" l="1"/>
  <c r="E46" i="9"/>
  <c r="E45" i="9"/>
  <c r="E44" i="9"/>
  <c r="E43" i="9"/>
  <c r="E42" i="9"/>
  <c r="E41" i="9"/>
  <c r="E40" i="9"/>
  <c r="E39" i="9"/>
  <c r="E35" i="9"/>
  <c r="E34" i="9"/>
  <c r="E33" i="9"/>
  <c r="E32" i="9"/>
  <c r="E31" i="9"/>
  <c r="E30" i="9"/>
  <c r="E29" i="9"/>
  <c r="E27" i="9"/>
  <c r="E26" i="9"/>
  <c r="E25" i="9"/>
  <c r="E24" i="9"/>
  <c r="E22" i="9"/>
  <c r="E21" i="9"/>
  <c r="E19" i="9"/>
  <c r="E18" i="9"/>
  <c r="E16" i="9"/>
  <c r="E15" i="9"/>
  <c r="E14" i="9"/>
  <c r="E13" i="9"/>
  <c r="D12" i="13"/>
  <c r="D23" i="13"/>
  <c r="F38" i="13"/>
  <c r="G38" i="13" s="1"/>
  <c r="H38" i="13"/>
  <c r="F12" i="13"/>
  <c r="G12" i="13" s="1"/>
  <c r="F17" i="13"/>
  <c r="F20" i="13"/>
  <c r="G20" i="13" s="1"/>
  <c r="F23" i="13"/>
  <c r="G23" i="13" s="1"/>
  <c r="F28" i="13"/>
  <c r="H35" i="13"/>
  <c r="H34" i="13"/>
  <c r="H33" i="13"/>
  <c r="H32" i="13"/>
  <c r="H31" i="13"/>
  <c r="H30" i="13"/>
  <c r="H29" i="13"/>
  <c r="H27" i="13"/>
  <c r="H26" i="13"/>
  <c r="H25" i="13"/>
  <c r="H24" i="13"/>
  <c r="H22" i="13"/>
  <c r="H21" i="13"/>
  <c r="H19" i="13"/>
  <c r="H18" i="13"/>
  <c r="H14" i="13"/>
  <c r="H15" i="13"/>
  <c r="H16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5" i="13"/>
  <c r="G34" i="13"/>
  <c r="G33" i="13"/>
  <c r="G32" i="13"/>
  <c r="G31" i="13"/>
  <c r="G30" i="13"/>
  <c r="G29" i="13"/>
  <c r="G27" i="13"/>
  <c r="G26" i="13"/>
  <c r="G25" i="13"/>
  <c r="G24" i="13"/>
  <c r="G22" i="13"/>
  <c r="G21" i="13"/>
  <c r="G19" i="13"/>
  <c r="G18" i="13"/>
  <c r="G17" i="13"/>
  <c r="G16" i="13"/>
  <c r="G15" i="13"/>
  <c r="G14" i="13"/>
  <c r="G13" i="13"/>
  <c r="H7" i="13"/>
  <c r="H5" i="13"/>
  <c r="H13" i="13"/>
  <c r="I11" i="13"/>
  <c r="H5" i="25"/>
  <c r="H7" i="25"/>
  <c r="G52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H39" i="9"/>
  <c r="H38" i="9" s="1"/>
  <c r="D38" i="9"/>
  <c r="E38" i="9" s="1"/>
  <c r="F38" i="9"/>
  <c r="D28" i="9"/>
  <c r="E28" i="9" s="1"/>
  <c r="F28" i="9"/>
  <c r="G28" i="9" s="1"/>
  <c r="D23" i="9"/>
  <c r="E23" i="9" s="1"/>
  <c r="F23" i="9"/>
  <c r="G23" i="9" s="1"/>
  <c r="D20" i="9"/>
  <c r="E20" i="9" s="1"/>
  <c r="F20" i="9"/>
  <c r="G20" i="9" s="1"/>
  <c r="D17" i="9"/>
  <c r="E17" i="9" s="1"/>
  <c r="F17" i="9"/>
  <c r="G17" i="9" s="1"/>
  <c r="D12" i="9"/>
  <c r="E12" i="9" s="1"/>
  <c r="F12" i="9"/>
  <c r="G12" i="9" s="1"/>
  <c r="H32" i="9"/>
  <c r="H31" i="9"/>
  <c r="H30" i="9"/>
  <c r="H29" i="9"/>
  <c r="H27" i="9"/>
  <c r="H26" i="9"/>
  <c r="H25" i="9"/>
  <c r="H24" i="9"/>
  <c r="H22" i="9"/>
  <c r="H21" i="9"/>
  <c r="H19" i="9"/>
  <c r="H18" i="9"/>
  <c r="H14" i="9"/>
  <c r="H15" i="9"/>
  <c r="H16" i="9"/>
  <c r="H13" i="9"/>
  <c r="G47" i="9"/>
  <c r="G46" i="9"/>
  <c r="G45" i="9"/>
  <c r="G44" i="9"/>
  <c r="G43" i="9"/>
  <c r="G42" i="9"/>
  <c r="G41" i="9"/>
  <c r="G40" i="9"/>
  <c r="D5" i="9"/>
  <c r="H33" i="26"/>
  <c r="H26" i="25"/>
  <c r="G9" i="26"/>
  <c r="H34" i="26"/>
  <c r="H39" i="25"/>
  <c r="H38" i="25" s="1"/>
  <c r="I38" i="25" s="1"/>
  <c r="H29" i="25"/>
  <c r="H24" i="25"/>
  <c r="I26" i="25"/>
  <c r="F9" i="11"/>
  <c r="F8" i="11"/>
  <c r="H15" i="25"/>
  <c r="H36" i="26"/>
  <c r="H35" i="26"/>
  <c r="H29" i="26"/>
  <c r="J26" i="25" s="1"/>
  <c r="K26" i="25" s="1"/>
  <c r="H18" i="26"/>
  <c r="H13" i="26"/>
  <c r="J16" i="25" s="1"/>
  <c r="K16" i="25" s="1"/>
  <c r="B52" i="25"/>
  <c r="K50" i="25"/>
  <c r="I50" i="25"/>
  <c r="K49" i="25"/>
  <c r="I49" i="25"/>
  <c r="K47" i="25"/>
  <c r="I47" i="25"/>
  <c r="K46" i="25"/>
  <c r="I46" i="25"/>
  <c r="K44" i="25"/>
  <c r="I44" i="25"/>
  <c r="K43" i="25"/>
  <c r="I43" i="25"/>
  <c r="K41" i="25"/>
  <c r="I41" i="25"/>
  <c r="I40" i="25"/>
  <c r="J39" i="25"/>
  <c r="J38" i="25" s="1"/>
  <c r="K35" i="25"/>
  <c r="H35" i="25"/>
  <c r="I35" i="25" s="1"/>
  <c r="K34" i="25"/>
  <c r="H34" i="25"/>
  <c r="I34" i="25" s="1"/>
  <c r="K33" i="25"/>
  <c r="H33" i="25"/>
  <c r="I33" i="25" s="1"/>
  <c r="K32" i="25"/>
  <c r="H32" i="25"/>
  <c r="I32" i="25" s="1"/>
  <c r="K31" i="25"/>
  <c r="H31" i="25"/>
  <c r="I31" i="25" s="1"/>
  <c r="K30" i="25"/>
  <c r="H30" i="25"/>
  <c r="I30" i="25" s="1"/>
  <c r="K27" i="25"/>
  <c r="H27" i="25"/>
  <c r="I27" i="25" s="1"/>
  <c r="K25" i="25"/>
  <c r="H25" i="25"/>
  <c r="I25" i="25" s="1"/>
  <c r="K22" i="25"/>
  <c r="H22" i="25"/>
  <c r="I22" i="25" s="1"/>
  <c r="K21" i="25"/>
  <c r="H21" i="25"/>
  <c r="I21" i="25" s="1"/>
  <c r="J20" i="25"/>
  <c r="K20" i="25" s="1"/>
  <c r="K19" i="25"/>
  <c r="H19" i="25"/>
  <c r="I19" i="25" s="1"/>
  <c r="I16" i="25"/>
  <c r="K14" i="25"/>
  <c r="H14" i="25"/>
  <c r="I14" i="25" s="1"/>
  <c r="I13" i="25"/>
  <c r="K11" i="25"/>
  <c r="I11" i="25"/>
  <c r="J5" i="25"/>
  <c r="H5" i="26" s="1"/>
  <c r="F23" i="19"/>
  <c r="H23" i="19" s="1"/>
  <c r="J26" i="13" s="1"/>
  <c r="F15" i="24"/>
  <c r="C15" i="24"/>
  <c r="J26" i="14"/>
  <c r="H29" i="22"/>
  <c r="F29" i="22"/>
  <c r="D29" i="22"/>
  <c r="B29" i="22"/>
  <c r="E21" i="22"/>
  <c r="D21" i="22"/>
  <c r="C21" i="22"/>
  <c r="B21" i="22"/>
  <c r="N15" i="22"/>
  <c r="M15" i="22"/>
  <c r="L15" i="22"/>
  <c r="K15" i="22"/>
  <c r="E15" i="22"/>
  <c r="D15" i="22"/>
  <c r="C15" i="22"/>
  <c r="B15" i="22"/>
  <c r="H8" i="22"/>
  <c r="B8" i="22"/>
  <c r="F8" i="22" s="1"/>
  <c r="D7" i="22"/>
  <c r="B7" i="22"/>
  <c r="H7" i="22" s="1"/>
  <c r="H6" i="22"/>
  <c r="H9" i="22" s="1"/>
  <c r="B6" i="22"/>
  <c r="F6" i="22" s="1"/>
  <c r="H36" i="21"/>
  <c r="F36" i="21"/>
  <c r="D36" i="21"/>
  <c r="B36" i="21"/>
  <c r="O26" i="21"/>
  <c r="B9" i="21" s="1"/>
  <c r="N26" i="21"/>
  <c r="M26" i="21"/>
  <c r="L26" i="21"/>
  <c r="E26" i="21"/>
  <c r="D26" i="21"/>
  <c r="C26" i="21"/>
  <c r="B26" i="21"/>
  <c r="O18" i="21"/>
  <c r="B7" i="21" s="1"/>
  <c r="N18" i="21"/>
  <c r="M18" i="21"/>
  <c r="L18" i="21"/>
  <c r="E18" i="21"/>
  <c r="D18" i="21"/>
  <c r="C18" i="21"/>
  <c r="B18" i="21"/>
  <c r="B8" i="21"/>
  <c r="H8" i="21" s="1"/>
  <c r="B6" i="21"/>
  <c r="H6" i="21" s="1"/>
  <c r="E35" i="20"/>
  <c r="D35" i="20"/>
  <c r="C35" i="20"/>
  <c r="B35" i="20"/>
  <c r="N27" i="20"/>
  <c r="B10" i="20" s="1"/>
  <c r="M27" i="20"/>
  <c r="L27" i="20"/>
  <c r="K27" i="20"/>
  <c r="E27" i="20"/>
  <c r="D27" i="20"/>
  <c r="C27" i="20"/>
  <c r="B27" i="20"/>
  <c r="N19" i="20"/>
  <c r="B9" i="20" s="1"/>
  <c r="M19" i="20"/>
  <c r="L19" i="20"/>
  <c r="K19" i="20"/>
  <c r="E19" i="20"/>
  <c r="D19" i="20"/>
  <c r="C19" i="20"/>
  <c r="B19" i="20"/>
  <c r="Q11" i="20"/>
  <c r="O11" i="20"/>
  <c r="M11" i="20"/>
  <c r="K11" i="20"/>
  <c r="H8" i="20"/>
  <c r="D8" i="20"/>
  <c r="B8" i="20"/>
  <c r="F8" i="20" s="1"/>
  <c r="H7" i="20"/>
  <c r="B7" i="20"/>
  <c r="F7" i="20" s="1"/>
  <c r="H6" i="20"/>
  <c r="D6" i="20"/>
  <c r="B6" i="20"/>
  <c r="B11" i="20" s="1"/>
  <c r="H29" i="19"/>
  <c r="H28" i="19"/>
  <c r="H14" i="19"/>
  <c r="J16" i="13" s="1"/>
  <c r="H14" i="16"/>
  <c r="J16" i="9" s="1"/>
  <c r="H31" i="19"/>
  <c r="H30" i="19"/>
  <c r="H35" i="16"/>
  <c r="H34" i="16"/>
  <c r="J5" i="13"/>
  <c r="H5" i="19" s="1"/>
  <c r="J13" i="13" s="1"/>
  <c r="J5" i="9"/>
  <c r="H5" i="17"/>
  <c r="H37" i="16"/>
  <c r="H36" i="16"/>
  <c r="H30" i="16"/>
  <c r="J26" i="9" s="1"/>
  <c r="H19" i="16"/>
  <c r="I13" i="13" l="1"/>
  <c r="F36" i="13"/>
  <c r="H37" i="26"/>
  <c r="J29" i="25" s="1"/>
  <c r="J28" i="25" s="1"/>
  <c r="K28" i="25" s="1"/>
  <c r="F5" i="16"/>
  <c r="H5" i="16" s="1"/>
  <c r="J13" i="9" s="1"/>
  <c r="F36" i="9"/>
  <c r="G36" i="9" s="1"/>
  <c r="D36" i="13"/>
  <c r="E36" i="13" s="1"/>
  <c r="E23" i="13"/>
  <c r="D36" i="9"/>
  <c r="G28" i="13"/>
  <c r="I15" i="25"/>
  <c r="I29" i="25"/>
  <c r="H17" i="25"/>
  <c r="I17" i="25" s="1"/>
  <c r="I13" i="9"/>
  <c r="H6" i="9"/>
  <c r="H9" i="26"/>
  <c r="J15" i="25" s="1"/>
  <c r="K15" i="25" s="1"/>
  <c r="H23" i="25"/>
  <c r="I23" i="25" s="1"/>
  <c r="I24" i="25"/>
  <c r="J24" i="25"/>
  <c r="G17" i="26"/>
  <c r="H17" i="26" s="1"/>
  <c r="H19" i="26" s="1"/>
  <c r="J18" i="25" s="1"/>
  <c r="K38" i="25"/>
  <c r="K13" i="25"/>
  <c r="I18" i="25"/>
  <c r="H12" i="25"/>
  <c r="H28" i="25"/>
  <c r="I28" i="25" s="1"/>
  <c r="H20" i="25"/>
  <c r="I20" i="25" s="1"/>
  <c r="H10" i="21"/>
  <c r="G10" i="21" s="1"/>
  <c r="D7" i="21"/>
  <c r="B10" i="21"/>
  <c r="H7" i="21"/>
  <c r="F7" i="21"/>
  <c r="D9" i="21"/>
  <c r="H9" i="21"/>
  <c r="F9" i="21"/>
  <c r="H9" i="20"/>
  <c r="H11" i="20" s="1"/>
  <c r="G11" i="20" s="1"/>
  <c r="F9" i="20"/>
  <c r="D9" i="20"/>
  <c r="D10" i="20"/>
  <c r="H10" i="20"/>
  <c r="F10" i="20"/>
  <c r="F6" i="20"/>
  <c r="B9" i="22"/>
  <c r="G9" i="22" s="1"/>
  <c r="D6" i="21"/>
  <c r="D8" i="21"/>
  <c r="F7" i="22"/>
  <c r="F9" i="22" s="1"/>
  <c r="E9" i="22" s="1"/>
  <c r="D7" i="20"/>
  <c r="D11" i="20" s="1"/>
  <c r="C11" i="20" s="1"/>
  <c r="F6" i="21"/>
  <c r="F8" i="21"/>
  <c r="D6" i="22"/>
  <c r="D8" i="22"/>
  <c r="K13" i="13"/>
  <c r="H32" i="19"/>
  <c r="J29" i="13" s="1"/>
  <c r="H8" i="17"/>
  <c r="J26" i="15" s="1"/>
  <c r="H38" i="16"/>
  <c r="J29" i="9" s="1"/>
  <c r="G36" i="13" l="1"/>
  <c r="F52" i="13"/>
  <c r="G52" i="13" s="1"/>
  <c r="K29" i="25"/>
  <c r="J12" i="25"/>
  <c r="K12" i="25" s="1"/>
  <c r="K13" i="9"/>
  <c r="J12" i="9"/>
  <c r="F49" i="9"/>
  <c r="G49" i="9" s="1"/>
  <c r="E36" i="9"/>
  <c r="D49" i="9"/>
  <c r="E49" i="9" s="1"/>
  <c r="K18" i="25"/>
  <c r="J17" i="25"/>
  <c r="J23" i="25"/>
  <c r="K23" i="25" s="1"/>
  <c r="K24" i="25"/>
  <c r="H36" i="25"/>
  <c r="I12" i="25"/>
  <c r="D10" i="21"/>
  <c r="C10" i="21" s="1"/>
  <c r="D9" i="22"/>
  <c r="C9" i="22" s="1"/>
  <c r="F11" i="20"/>
  <c r="E11" i="20" s="1"/>
  <c r="F10" i="21"/>
  <c r="E10" i="21" s="1"/>
  <c r="B49" i="15"/>
  <c r="K47" i="15"/>
  <c r="I47" i="15"/>
  <c r="K46" i="15"/>
  <c r="I46" i="15"/>
  <c r="K44" i="15"/>
  <c r="I44" i="15"/>
  <c r="K43" i="15"/>
  <c r="I43" i="15"/>
  <c r="K41" i="15"/>
  <c r="I41" i="15"/>
  <c r="K40" i="15"/>
  <c r="I40" i="15"/>
  <c r="K38" i="15"/>
  <c r="I38" i="15"/>
  <c r="I37" i="15"/>
  <c r="K36" i="15"/>
  <c r="I36" i="15"/>
  <c r="J35" i="15"/>
  <c r="K35" i="15" s="1"/>
  <c r="H35" i="15"/>
  <c r="I35" i="15" s="1"/>
  <c r="K32" i="15"/>
  <c r="H32" i="15"/>
  <c r="I32" i="15" s="1"/>
  <c r="K31" i="15"/>
  <c r="H31" i="15"/>
  <c r="I31" i="15" s="1"/>
  <c r="K30" i="15"/>
  <c r="H30" i="15"/>
  <c r="I30" i="15" s="1"/>
  <c r="K29" i="15"/>
  <c r="H29" i="15"/>
  <c r="I29" i="15" s="1"/>
  <c r="K28" i="15"/>
  <c r="H28" i="15"/>
  <c r="I28" i="15" s="1"/>
  <c r="K27" i="15"/>
  <c r="I27" i="15"/>
  <c r="K26" i="15"/>
  <c r="I26" i="15"/>
  <c r="H25" i="15"/>
  <c r="I25" i="15" s="1"/>
  <c r="K24" i="15"/>
  <c r="I24" i="15"/>
  <c r="K23" i="15"/>
  <c r="I23" i="15"/>
  <c r="K22" i="15"/>
  <c r="I22" i="15"/>
  <c r="K21" i="15"/>
  <c r="I21" i="15"/>
  <c r="J20" i="15"/>
  <c r="K20" i="15" s="1"/>
  <c r="H20" i="15"/>
  <c r="I20" i="15" s="1"/>
  <c r="K19" i="15"/>
  <c r="I19" i="15"/>
  <c r="K18" i="15"/>
  <c r="I18" i="15"/>
  <c r="J17" i="15"/>
  <c r="K17" i="15" s="1"/>
  <c r="H17" i="15"/>
  <c r="I17" i="15" s="1"/>
  <c r="K16" i="15"/>
  <c r="I16" i="15"/>
  <c r="K15" i="15"/>
  <c r="I15" i="15"/>
  <c r="J14" i="15"/>
  <c r="K14" i="15" s="1"/>
  <c r="H14" i="15"/>
  <c r="I14" i="15" s="1"/>
  <c r="K13" i="15"/>
  <c r="I13" i="15"/>
  <c r="K12" i="15"/>
  <c r="I12" i="15"/>
  <c r="K11" i="15"/>
  <c r="I11" i="15"/>
  <c r="J10" i="15"/>
  <c r="K10" i="15" s="1"/>
  <c r="H10" i="15"/>
  <c r="K9" i="15"/>
  <c r="I9" i="15"/>
  <c r="B49" i="14"/>
  <c r="K47" i="14"/>
  <c r="I47" i="14"/>
  <c r="K46" i="14"/>
  <c r="I46" i="14"/>
  <c r="K44" i="14"/>
  <c r="I44" i="14"/>
  <c r="K43" i="14"/>
  <c r="I43" i="14"/>
  <c r="K41" i="14"/>
  <c r="I41" i="14"/>
  <c r="K40" i="14"/>
  <c r="I40" i="14"/>
  <c r="K38" i="14"/>
  <c r="I38" i="14"/>
  <c r="I37" i="14"/>
  <c r="K36" i="14"/>
  <c r="I36" i="14"/>
  <c r="J35" i="14"/>
  <c r="K35" i="14" s="1"/>
  <c r="H35" i="14"/>
  <c r="I35" i="14" s="1"/>
  <c r="K32" i="14"/>
  <c r="H32" i="14"/>
  <c r="I32" i="14" s="1"/>
  <c r="K31" i="14"/>
  <c r="H31" i="14"/>
  <c r="I31" i="14" s="1"/>
  <c r="K30" i="14"/>
  <c r="H30" i="14"/>
  <c r="I30" i="14" s="1"/>
  <c r="K29" i="14"/>
  <c r="H29" i="14"/>
  <c r="I29" i="14" s="1"/>
  <c r="K28" i="14"/>
  <c r="H28" i="14"/>
  <c r="I28" i="14" s="1"/>
  <c r="K27" i="14"/>
  <c r="I27" i="14"/>
  <c r="J25" i="14"/>
  <c r="I26" i="14"/>
  <c r="K24" i="14"/>
  <c r="I24" i="14"/>
  <c r="K23" i="14"/>
  <c r="I23" i="14"/>
  <c r="K22" i="14"/>
  <c r="I22" i="14"/>
  <c r="K21" i="14"/>
  <c r="I21" i="14"/>
  <c r="J20" i="14"/>
  <c r="K20" i="14" s="1"/>
  <c r="K19" i="14"/>
  <c r="I19" i="14"/>
  <c r="K18" i="14"/>
  <c r="I18" i="14"/>
  <c r="H17" i="14"/>
  <c r="I17" i="14" s="1"/>
  <c r="J17" i="14"/>
  <c r="K17" i="14" s="1"/>
  <c r="K16" i="14"/>
  <c r="H14" i="14"/>
  <c r="I14" i="14" s="1"/>
  <c r="K15" i="14"/>
  <c r="I15" i="14"/>
  <c r="J14" i="14"/>
  <c r="K14" i="14" s="1"/>
  <c r="K13" i="14"/>
  <c r="I13" i="14"/>
  <c r="K12" i="14"/>
  <c r="I12" i="14"/>
  <c r="K11" i="14"/>
  <c r="H10" i="14"/>
  <c r="J10" i="14"/>
  <c r="K10" i="14" s="1"/>
  <c r="K9" i="14"/>
  <c r="I9" i="14"/>
  <c r="I35" i="13"/>
  <c r="I34" i="13"/>
  <c r="I33" i="13"/>
  <c r="I32" i="13"/>
  <c r="I31" i="13"/>
  <c r="I30" i="13"/>
  <c r="I29" i="13"/>
  <c r="I27" i="13"/>
  <c r="I26" i="13"/>
  <c r="I25" i="13"/>
  <c r="I22" i="13"/>
  <c r="I21" i="13"/>
  <c r="I19" i="13"/>
  <c r="I16" i="13"/>
  <c r="B52" i="13"/>
  <c r="K50" i="13"/>
  <c r="I50" i="13"/>
  <c r="K49" i="13"/>
  <c r="I49" i="13"/>
  <c r="K48" i="13"/>
  <c r="I48" i="13"/>
  <c r="K47" i="13"/>
  <c r="I47" i="13"/>
  <c r="K46" i="13"/>
  <c r="I46" i="13"/>
  <c r="K45" i="13"/>
  <c r="I45" i="13"/>
  <c r="K44" i="13"/>
  <c r="I44" i="13"/>
  <c r="K43" i="13"/>
  <c r="I43" i="13"/>
  <c r="K42" i="13"/>
  <c r="I42" i="13"/>
  <c r="K41" i="13"/>
  <c r="I41" i="13"/>
  <c r="I40" i="13"/>
  <c r="I39" i="13"/>
  <c r="K35" i="13"/>
  <c r="K34" i="13"/>
  <c r="K33" i="13"/>
  <c r="K32" i="13"/>
  <c r="K31" i="13"/>
  <c r="K30" i="13"/>
  <c r="J28" i="13"/>
  <c r="K28" i="13" s="1"/>
  <c r="K27" i="13"/>
  <c r="K26" i="13"/>
  <c r="K25" i="13"/>
  <c r="K22" i="13"/>
  <c r="K21" i="13"/>
  <c r="J20" i="13"/>
  <c r="K20" i="13" s="1"/>
  <c r="K19" i="13"/>
  <c r="K18" i="13"/>
  <c r="J17" i="13"/>
  <c r="K17" i="13" s="1"/>
  <c r="K16" i="13"/>
  <c r="K14" i="13"/>
  <c r="K11" i="13"/>
  <c r="I47" i="9"/>
  <c r="I46" i="9"/>
  <c r="I45" i="9"/>
  <c r="I44" i="9"/>
  <c r="I43" i="9"/>
  <c r="I42" i="9"/>
  <c r="I41" i="9"/>
  <c r="I40" i="9"/>
  <c r="H35" i="9"/>
  <c r="I35" i="9" s="1"/>
  <c r="H34" i="9"/>
  <c r="I34" i="9" s="1"/>
  <c r="H33" i="9"/>
  <c r="I33" i="9" s="1"/>
  <c r="I32" i="9"/>
  <c r="I31" i="9"/>
  <c r="I30" i="9"/>
  <c r="I27" i="9"/>
  <c r="I26" i="9"/>
  <c r="I25" i="9"/>
  <c r="I22" i="9"/>
  <c r="I21" i="9"/>
  <c r="I19" i="9"/>
  <c r="H18" i="16"/>
  <c r="H20" i="16" s="1"/>
  <c r="J18" i="9" s="1"/>
  <c r="I15" i="9"/>
  <c r="I16" i="9"/>
  <c r="D3" i="11"/>
  <c r="F36" i="11"/>
  <c r="F37" i="11"/>
  <c r="F38" i="11"/>
  <c r="F39" i="11"/>
  <c r="F40" i="11"/>
  <c r="F35" i="11"/>
  <c r="F41" i="11"/>
  <c r="F34" i="11"/>
  <c r="F32" i="11"/>
  <c r="F31" i="11"/>
  <c r="F30" i="11"/>
  <c r="F29" i="11"/>
  <c r="F25" i="11"/>
  <c r="F28" i="11"/>
  <c r="F27" i="11"/>
  <c r="D21" i="11"/>
  <c r="F21" i="11" s="1"/>
  <c r="F22" i="11"/>
  <c r="F23" i="11"/>
  <c r="F24" i="11"/>
  <c r="F26" i="11"/>
  <c r="D20" i="11"/>
  <c r="F20" i="11" s="1"/>
  <c r="D19" i="11"/>
  <c r="F19" i="11" s="1"/>
  <c r="F18" i="11"/>
  <c r="D15" i="11"/>
  <c r="F15" i="11" s="1"/>
  <c r="F13" i="11"/>
  <c r="F14" i="11"/>
  <c r="F16" i="11"/>
  <c r="F17" i="11"/>
  <c r="F12" i="11"/>
  <c r="D10" i="11"/>
  <c r="F10" i="11" s="1"/>
  <c r="F6" i="11"/>
  <c r="F5" i="11"/>
  <c r="F4" i="11"/>
  <c r="I38" i="9"/>
  <c r="H33" i="15" l="1"/>
  <c r="I33" i="15" s="1"/>
  <c r="I14" i="9"/>
  <c r="H12" i="9"/>
  <c r="I14" i="13"/>
  <c r="H12" i="13"/>
  <c r="I15" i="13"/>
  <c r="H10" i="19"/>
  <c r="J15" i="13" s="1"/>
  <c r="K17" i="25"/>
  <c r="J36" i="25"/>
  <c r="I36" i="25"/>
  <c r="H52" i="25"/>
  <c r="I52" i="25" s="1"/>
  <c r="I24" i="13"/>
  <c r="J24" i="13"/>
  <c r="I24" i="9"/>
  <c r="J24" i="9"/>
  <c r="H17" i="9"/>
  <c r="I17" i="9" s="1"/>
  <c r="H28" i="9"/>
  <c r="I28" i="9" s="1"/>
  <c r="H17" i="13"/>
  <c r="I17" i="13" s="1"/>
  <c r="J25" i="15"/>
  <c r="J33" i="15" s="1"/>
  <c r="J49" i="15" s="1"/>
  <c r="K49" i="15" s="1"/>
  <c r="I18" i="9"/>
  <c r="I29" i="9"/>
  <c r="I10" i="15"/>
  <c r="I10" i="14"/>
  <c r="J33" i="14"/>
  <c r="K25" i="14"/>
  <c r="I11" i="14"/>
  <c r="I16" i="14"/>
  <c r="K26" i="14"/>
  <c r="H20" i="14"/>
  <c r="I20" i="14" s="1"/>
  <c r="H25" i="14"/>
  <c r="I25" i="14" s="1"/>
  <c r="H23" i="13"/>
  <c r="I23" i="13" s="1"/>
  <c r="H20" i="13"/>
  <c r="I20" i="13" s="1"/>
  <c r="K29" i="13"/>
  <c r="I38" i="13"/>
  <c r="H28" i="13"/>
  <c r="I28" i="13" s="1"/>
  <c r="I18" i="13"/>
  <c r="H23" i="9"/>
  <c r="I23" i="9" s="1"/>
  <c r="H20" i="9"/>
  <c r="I20" i="9" s="1"/>
  <c r="I12" i="9" l="1"/>
  <c r="H36" i="9"/>
  <c r="H49" i="9" s="1"/>
  <c r="H49" i="15"/>
  <c r="I49" i="15" s="1"/>
  <c r="K36" i="25"/>
  <c r="J52" i="25"/>
  <c r="K52" i="25" s="1"/>
  <c r="J12" i="13"/>
  <c r="K12" i="13" s="1"/>
  <c r="K15" i="13"/>
  <c r="K24" i="13"/>
  <c r="J23" i="13"/>
  <c r="K33" i="15"/>
  <c r="K25" i="15"/>
  <c r="K33" i="14"/>
  <c r="J49" i="14"/>
  <c r="K49" i="14" s="1"/>
  <c r="H33" i="14"/>
  <c r="H49" i="14" s="1"/>
  <c r="H36" i="13"/>
  <c r="H52" i="13" s="1"/>
  <c r="I12" i="13"/>
  <c r="B49" i="9"/>
  <c r="K26" i="9"/>
  <c r="K16" i="9"/>
  <c r="K15" i="9"/>
  <c r="K11" i="9"/>
  <c r="I36" i="9" l="1"/>
  <c r="K23" i="13"/>
  <c r="J36" i="13"/>
  <c r="I49" i="9"/>
  <c r="I33" i="14"/>
  <c r="I49" i="14"/>
  <c r="I36" i="13"/>
  <c r="I52" i="13"/>
  <c r="K45" i="9"/>
  <c r="K42" i="9"/>
  <c r="K41" i="9"/>
  <c r="K47" i="9"/>
  <c r="K32" i="9"/>
  <c r="K44" i="9"/>
  <c r="K43" i="9"/>
  <c r="K25" i="9"/>
  <c r="K46" i="9"/>
  <c r="J23" i="9"/>
  <c r="K23" i="9" s="1"/>
  <c r="K24" i="9"/>
  <c r="K27" i="9"/>
  <c r="K31" i="9"/>
  <c r="K35" i="9"/>
  <c r="K19" i="9"/>
  <c r="K36" i="13" l="1"/>
  <c r="K29" i="9"/>
  <c r="K21" i="9"/>
  <c r="K22" i="9"/>
  <c r="K18" i="9"/>
  <c r="J17" i="9"/>
  <c r="K17" i="9" s="1"/>
  <c r="K14" i="9"/>
  <c r="J20" i="9" l="1"/>
  <c r="K20" i="9" s="1"/>
  <c r="K30" i="9"/>
  <c r="J28" i="9"/>
  <c r="K28" i="9" s="1"/>
  <c r="K12" i="9"/>
  <c r="K34" i="9" l="1"/>
  <c r="K33" i="9" l="1"/>
  <c r="J36" i="9"/>
  <c r="K36" i="9" s="1"/>
  <c r="J39" i="9" l="1"/>
  <c r="J38" i="9" s="1"/>
  <c r="J39" i="13"/>
  <c r="J38" i="13" s="1"/>
  <c r="K38" i="13" l="1"/>
  <c r="J52" i="13"/>
  <c r="K52" i="13" s="1"/>
  <c r="K38" i="9"/>
  <c r="J49" i="9"/>
  <c r="K49" i="9" s="1"/>
</calcChain>
</file>

<file path=xl/sharedStrings.xml><?xml version="1.0" encoding="utf-8"?>
<sst xmlns="http://schemas.openxmlformats.org/spreadsheetml/2006/main" count="1362" uniqueCount="285">
  <si>
    <t>majetková a provozní evidence</t>
  </si>
  <si>
    <t>kalkulace 2024</t>
  </si>
  <si>
    <t>Kč</t>
  </si>
  <si>
    <t>1.</t>
  </si>
  <si>
    <t>Materiál</t>
  </si>
  <si>
    <t>1.2.</t>
  </si>
  <si>
    <t>1.3.</t>
  </si>
  <si>
    <t>Chemikálie</t>
  </si>
  <si>
    <t>1.4.</t>
  </si>
  <si>
    <t>Ostatní materiál</t>
  </si>
  <si>
    <t>2.</t>
  </si>
  <si>
    <t>Energie</t>
  </si>
  <si>
    <t>2.1.</t>
  </si>
  <si>
    <t>Elektrická energie</t>
  </si>
  <si>
    <t>2.2.</t>
  </si>
  <si>
    <t>Ostatní energie</t>
  </si>
  <si>
    <t>3.</t>
  </si>
  <si>
    <t>Osobní náklady</t>
  </si>
  <si>
    <t>3.1.</t>
  </si>
  <si>
    <t>Mzdové náklady</t>
  </si>
  <si>
    <t>3.2.</t>
  </si>
  <si>
    <t>Ostatní osobní náklady</t>
  </si>
  <si>
    <t>4.</t>
  </si>
  <si>
    <t>Ostatní přímé náklady</t>
  </si>
  <si>
    <t>4.1.</t>
  </si>
  <si>
    <t>Odpisy infrastrukturního majetku</t>
  </si>
  <si>
    <t>4.2.</t>
  </si>
  <si>
    <t>Opravy infr. majetku - obnovující</t>
  </si>
  <si>
    <t>4.3.</t>
  </si>
  <si>
    <t>Opravy infr. majetku - ostatní</t>
  </si>
  <si>
    <t>4.4.</t>
  </si>
  <si>
    <t>Nájem infrastrukturního majetku</t>
  </si>
  <si>
    <t>5.</t>
  </si>
  <si>
    <t>Provozní náklady</t>
  </si>
  <si>
    <t>5.2.</t>
  </si>
  <si>
    <t>Ostatní provozní náklady externí</t>
  </si>
  <si>
    <t>5.3.</t>
  </si>
  <si>
    <t>Ostatní provozní náklady ve vlastní režii</t>
  </si>
  <si>
    <t>6.</t>
  </si>
  <si>
    <t>Finanční náklady</t>
  </si>
  <si>
    <t>7.</t>
  </si>
  <si>
    <t>Ostatní výnosy</t>
  </si>
  <si>
    <t>8.</t>
  </si>
  <si>
    <t>Výrobní režie</t>
  </si>
  <si>
    <t>9.</t>
  </si>
  <si>
    <t>Správní režie</t>
  </si>
  <si>
    <t>9.1.</t>
  </si>
  <si>
    <t>z toho osobní náklady</t>
  </si>
  <si>
    <t>10.</t>
  </si>
  <si>
    <t>Úplné vlastní náklady</t>
  </si>
  <si>
    <t>A.</t>
  </si>
  <si>
    <t>Výnosy</t>
  </si>
  <si>
    <t>A.1.</t>
  </si>
  <si>
    <t>Vodné</t>
  </si>
  <si>
    <t>A.2.</t>
  </si>
  <si>
    <t>Stočné</t>
  </si>
  <si>
    <t>A.3.</t>
  </si>
  <si>
    <t>Finanční vyrovnání</t>
  </si>
  <si>
    <t>A.4.</t>
  </si>
  <si>
    <t>Zakázky</t>
  </si>
  <si>
    <t>A.5.</t>
  </si>
  <si>
    <t>Změna stavu nedokončené výroby</t>
  </si>
  <si>
    <t>A.6.</t>
  </si>
  <si>
    <t>Služby</t>
  </si>
  <si>
    <t>A.7.</t>
  </si>
  <si>
    <t>Interní služby</t>
  </si>
  <si>
    <t>A.8.</t>
  </si>
  <si>
    <t>Aktivace</t>
  </si>
  <si>
    <t>A.9.</t>
  </si>
  <si>
    <t>Výnosy z ostatních činností</t>
  </si>
  <si>
    <t>Hospodářský výsledek</t>
  </si>
  <si>
    <t>jednotek</t>
  </si>
  <si>
    <t>Kč / j.</t>
  </si>
  <si>
    <t>celkem</t>
  </si>
  <si>
    <t>počet</t>
  </si>
  <si>
    <t>Fyzické objemy (m3)</t>
  </si>
  <si>
    <t>kalk. 2024</t>
  </si>
  <si>
    <t>odvedená odpadní voda</t>
  </si>
  <si>
    <t>Odpadní voda předaná</t>
  </si>
  <si>
    <t>sestavení kalkulací</t>
  </si>
  <si>
    <t>5.2. Ostatní provozní náklady externí</t>
  </si>
  <si>
    <t>rozbory</t>
  </si>
  <si>
    <t>chlorňan</t>
  </si>
  <si>
    <t>10M23</t>
  </si>
  <si>
    <t>majetková a provozní eveidence</t>
  </si>
  <si>
    <t>rozbory vzorků</t>
  </si>
  <si>
    <t>provozní řád</t>
  </si>
  <si>
    <t>provozní řád - vodovod Bystré</t>
  </si>
  <si>
    <t>nerezové komínky</t>
  </si>
  <si>
    <t>odpis</t>
  </si>
  <si>
    <t>Bystré</t>
  </si>
  <si>
    <t>Mochtín</t>
  </si>
  <si>
    <t>materiál - řezačka asfaltu</t>
  </si>
  <si>
    <t>oprava Mochtín</t>
  </si>
  <si>
    <t>posyp</t>
  </si>
  <si>
    <t>materiál na opravu</t>
  </si>
  <si>
    <t>poklop hydrantu</t>
  </si>
  <si>
    <t>vodoměry</t>
  </si>
  <si>
    <t>energie</t>
  </si>
  <si>
    <t>oprava externí</t>
  </si>
  <si>
    <t>výměna uzávěrů vod</t>
  </si>
  <si>
    <t>oprava čerpadel</t>
  </si>
  <si>
    <t>zemní práce - Hoštičky</t>
  </si>
  <si>
    <t>majetková a provozní evdience</t>
  </si>
  <si>
    <t>doprava prachu na opravu</t>
  </si>
  <si>
    <t>administrativní poplatkuy</t>
  </si>
  <si>
    <t>oprava  - zemní práce</t>
  </si>
  <si>
    <t>odpisy</t>
  </si>
  <si>
    <t>Kocourov</t>
  </si>
  <si>
    <t>rozbor vody</t>
  </si>
  <si>
    <t>administrativní poplatky</t>
  </si>
  <si>
    <t>oč. 2023</t>
  </si>
  <si>
    <t>kat</t>
  </si>
  <si>
    <t>oblast</t>
  </si>
  <si>
    <t>VODA Kocourov</t>
  </si>
  <si>
    <t>VODA Mochtín</t>
  </si>
  <si>
    <t>1.1. Surová voda podzemní a povrchová</t>
  </si>
  <si>
    <t>projekt</t>
  </si>
  <si>
    <t>j.</t>
  </si>
  <si>
    <t>m3</t>
  </si>
  <si>
    <t>jedn.</t>
  </si>
  <si>
    <t>ks</t>
  </si>
  <si>
    <t>2.1 Elektrická energie</t>
  </si>
  <si>
    <t>elektřina - spotřeba</t>
  </si>
  <si>
    <t>elektřina - fixní poplatky</t>
  </si>
  <si>
    <t>4.3. Opravy infr. majetku - ostatní</t>
  </si>
  <si>
    <t>laboratorní rozbory</t>
  </si>
  <si>
    <t>PŘEDPOKLADY KALKULACE - Mochtín VKV</t>
  </si>
  <si>
    <t>PŘEDPOKLADY KALKULACE - Srbice, Hoštičky VKV</t>
  </si>
  <si>
    <t>PŘEDPOKLADY KALKULACE - Mochtín VODA</t>
  </si>
  <si>
    <t>vyrobená voda</t>
  </si>
  <si>
    <t>ztráty vody (%)</t>
  </si>
  <si>
    <t>pitná voda fakturovaná</t>
  </si>
  <si>
    <t>poplatky za výrobu vody</t>
  </si>
  <si>
    <t>výměna aktivního uhlí</t>
  </si>
  <si>
    <t>1.1.</t>
  </si>
  <si>
    <t>Surová voda podzemní a povrchová</t>
  </si>
  <si>
    <t>1.3 Chemikálie</t>
  </si>
  <si>
    <t>výměna vodoměrů</t>
  </si>
  <si>
    <t>1.4. Ostatní materiál</t>
  </si>
  <si>
    <t>plánovaná oprava přípojek</t>
  </si>
  <si>
    <t>Výpočet bilančních údajů</t>
  </si>
  <si>
    <t>BSK</t>
  </si>
  <si>
    <t>CHSK</t>
  </si>
  <si>
    <t>NL</t>
  </si>
  <si>
    <t>VHR</t>
  </si>
  <si>
    <t>m3/rok</t>
  </si>
  <si>
    <t>prum</t>
  </si>
  <si>
    <t>t/rok</t>
  </si>
  <si>
    <t xml:space="preserve"> VKV 1</t>
  </si>
  <si>
    <t xml:space="preserve"> VKV 2</t>
  </si>
  <si>
    <t xml:space="preserve"> VKV 3</t>
  </si>
  <si>
    <t xml:space="preserve"> VKV 4</t>
  </si>
  <si>
    <t>VKV 5</t>
  </si>
  <si>
    <t>VKV 1</t>
  </si>
  <si>
    <t>průtok</t>
  </si>
  <si>
    <t>VKV 4</t>
  </si>
  <si>
    <t>mg/l</t>
  </si>
  <si>
    <t>l/s</t>
  </si>
  <si>
    <t>6.3.</t>
  </si>
  <si>
    <t>29.5.</t>
  </si>
  <si>
    <t>29.8.</t>
  </si>
  <si>
    <t>27.11.</t>
  </si>
  <si>
    <t>VKV 2</t>
  </si>
  <si>
    <t>VKV 3</t>
  </si>
  <si>
    <t>Srbice</t>
  </si>
  <si>
    <t>5.6.</t>
  </si>
  <si>
    <t>20.11.</t>
  </si>
  <si>
    <t>Hoštičky</t>
  </si>
  <si>
    <t>2022/6</t>
  </si>
  <si>
    <t>2022/7</t>
  </si>
  <si>
    <t>2022/8</t>
  </si>
  <si>
    <t>2022/9</t>
  </si>
  <si>
    <t>2022/10</t>
  </si>
  <si>
    <t>2022/11</t>
  </si>
  <si>
    <t>2022/12</t>
  </si>
  <si>
    <t>2023/1</t>
  </si>
  <si>
    <t>2023/2</t>
  </si>
  <si>
    <t>2023/3</t>
  </si>
  <si>
    <t>2023/4</t>
  </si>
  <si>
    <t>2023/5</t>
  </si>
  <si>
    <t>poplatky za výrobu vody*</t>
  </si>
  <si>
    <t>*jste pod limitem 5000 m3</t>
  </si>
  <si>
    <t>*mimořádná oprava - 1x/10 let</t>
  </si>
  <si>
    <t>n/a</t>
  </si>
  <si>
    <t>oprava přípojky</t>
  </si>
  <si>
    <t>1.3. Chemikálie</t>
  </si>
  <si>
    <t>Kč/m3</t>
  </si>
  <si>
    <t>skutečnost 1-9/24</t>
  </si>
  <si>
    <t>oč. skutečnost 2024</t>
  </si>
  <si>
    <t>kalk. 2025</t>
  </si>
  <si>
    <t>kalkulace 2025</t>
  </si>
  <si>
    <t>oč. 2024</t>
  </si>
  <si>
    <t>skut. 1-9/24</t>
  </si>
  <si>
    <t>sk. 1-9/24</t>
  </si>
  <si>
    <t>oček. 2024</t>
  </si>
  <si>
    <t>Faktura</t>
  </si>
  <si>
    <t>Var.symbol</t>
  </si>
  <si>
    <t>Odběratel</t>
  </si>
  <si>
    <t>Předmět fakturace</t>
  </si>
  <si>
    <t>kalkulace</t>
  </si>
  <si>
    <t>Období</t>
  </si>
  <si>
    <t>DUZP</t>
  </si>
  <si>
    <t>Částka</t>
  </si>
  <si>
    <t>bez DPH</t>
  </si>
  <si>
    <t>DPH</t>
  </si>
  <si>
    <t>kalk</t>
  </si>
  <si>
    <t>824203098</t>
  </si>
  <si>
    <t>OBEC MOCHTÍN</t>
  </si>
  <si>
    <t>poklopy</t>
  </si>
  <si>
    <t>vodné</t>
  </si>
  <si>
    <t>0924</t>
  </si>
  <si>
    <t>F-284</t>
  </si>
  <si>
    <t>824203104</t>
  </si>
  <si>
    <t>F-295</t>
  </si>
  <si>
    <t>824203107</t>
  </si>
  <si>
    <t>1024</t>
  </si>
  <si>
    <t>F-311</t>
  </si>
  <si>
    <t>8242050208</t>
  </si>
  <si>
    <t>monitoring kanalizace</t>
  </si>
  <si>
    <t>stočné</t>
  </si>
  <si>
    <t>0224</t>
  </si>
  <si>
    <t>F-30</t>
  </si>
  <si>
    <t>8242050530</t>
  </si>
  <si>
    <t>výměna vod. přípojky Oú 105</t>
  </si>
  <si>
    <t>0324</t>
  </si>
  <si>
    <t xml:space="preserve">F-78 </t>
  </si>
  <si>
    <t>8242050560</t>
  </si>
  <si>
    <t>0424</t>
  </si>
  <si>
    <t>F-84</t>
  </si>
  <si>
    <t>Srbice/Hoštičky</t>
  </si>
  <si>
    <t>8242051420</t>
  </si>
  <si>
    <t>výměna hydrantu a šoupěte</t>
  </si>
  <si>
    <t>0724</t>
  </si>
  <si>
    <t>F-195</t>
  </si>
  <si>
    <t>0824</t>
  </si>
  <si>
    <t>8242051883</t>
  </si>
  <si>
    <t>F-290</t>
  </si>
  <si>
    <t>8242052168</t>
  </si>
  <si>
    <t>vyhledávání poruch</t>
  </si>
  <si>
    <t>F-332</t>
  </si>
  <si>
    <t>824208016</t>
  </si>
  <si>
    <t>8247142</t>
  </si>
  <si>
    <t>rozbor vzorku</t>
  </si>
  <si>
    <t>F-53</t>
  </si>
  <si>
    <t>8247202</t>
  </si>
  <si>
    <t>F-68</t>
  </si>
  <si>
    <t>8247289</t>
  </si>
  <si>
    <t>0524</t>
  </si>
  <si>
    <t>F-109</t>
  </si>
  <si>
    <t>8247290</t>
  </si>
  <si>
    <t>F-110</t>
  </si>
  <si>
    <t>8247320</t>
  </si>
  <si>
    <t>F-116</t>
  </si>
  <si>
    <t>8247368</t>
  </si>
  <si>
    <t>F-130</t>
  </si>
  <si>
    <t>8247384</t>
  </si>
  <si>
    <t>0624</t>
  </si>
  <si>
    <t>F-140</t>
  </si>
  <si>
    <t>8247468</t>
  </si>
  <si>
    <t>F-182</t>
  </si>
  <si>
    <t>8247528</t>
  </si>
  <si>
    <t>F-234</t>
  </si>
  <si>
    <t>8247638</t>
  </si>
  <si>
    <t>F-288</t>
  </si>
  <si>
    <t>8247642</t>
  </si>
  <si>
    <t>F-287</t>
  </si>
  <si>
    <t>8247668</t>
  </si>
  <si>
    <t>F-302</t>
  </si>
  <si>
    <t>8247687</t>
  </si>
  <si>
    <t>F-320</t>
  </si>
  <si>
    <t>8247728</t>
  </si>
  <si>
    <t>F-331</t>
  </si>
  <si>
    <t>mzdy</t>
  </si>
  <si>
    <t>aktivní uhlí</t>
  </si>
  <si>
    <t>čerpadlo</t>
  </si>
  <si>
    <t>materiál</t>
  </si>
  <si>
    <t>el. Energie</t>
  </si>
  <si>
    <t>výměna poklopů</t>
  </si>
  <si>
    <t>3.2 Ostatní osobní náklady</t>
  </si>
  <si>
    <t>ostatní osobní náklady</t>
  </si>
  <si>
    <t>VKV Mochtín</t>
  </si>
  <si>
    <t>VKV Srbice, Hoštičky</t>
  </si>
  <si>
    <t>VODA Bsytré</t>
  </si>
  <si>
    <t>provozní evidence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</si>
</sst>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\-#,##0.00;\-\ "/>
    <numFmt numFmtId="165" formatCode="#,##0;\-#,##0;\-\ "/>
    <numFmt numFmtId="166" formatCode="#,##0.0;\-#,##0.0;\-\ "/>
    <numFmt numFmtId="167" formatCode="#,##0.00_ ;\-#,##0.00\ "/>
    <numFmt numFmtId="168" formatCode="0.000"/>
    <numFmt numFmtId="169" formatCode="0.0"/>
    <numFmt numFmtId="170" formatCode="0.0%"/>
    <numFmt numFmtId="173" formatCode="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46464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A35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69B3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6FC"/>
        <bgColor indexed="64"/>
      </patternFill>
    </fill>
    <fill>
      <patternFill patternType="solid">
        <fgColor rgb="FFFFCD3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69B3E4"/>
      </left>
      <right style="thin">
        <color rgb="FF69B3E4"/>
      </right>
      <top style="thin">
        <color rgb="FF69B3E4"/>
      </top>
      <bottom style="thin">
        <color rgb="FF69B3E4"/>
      </bottom>
      <diagonal/>
    </border>
    <border>
      <left style="thin">
        <color rgb="FF69B3E4"/>
      </left>
      <right/>
      <top style="thin">
        <color rgb="FF69B3E4"/>
      </top>
      <bottom/>
      <diagonal/>
    </border>
    <border>
      <left/>
      <right/>
      <top style="thin">
        <color rgb="FF69B3E4"/>
      </top>
      <bottom/>
      <diagonal/>
    </border>
    <border>
      <left style="thin">
        <color rgb="FF69B3E4"/>
      </left>
      <right/>
      <top/>
      <bottom/>
      <diagonal/>
    </border>
    <border>
      <left style="thin">
        <color rgb="FF69B3E4"/>
      </left>
      <right/>
      <top/>
      <bottom style="thin">
        <color rgb="FF69B3E4"/>
      </bottom>
      <diagonal/>
    </border>
    <border>
      <left/>
      <right/>
      <top/>
      <bottom style="thin">
        <color rgb="FF69B3E4"/>
      </bottom>
      <diagonal/>
    </border>
    <border>
      <left/>
      <right style="thin">
        <color rgb="FF69B3E4"/>
      </right>
      <top/>
      <bottom style="thin">
        <color rgb="FF69B3E4"/>
      </bottom>
      <diagonal/>
    </border>
    <border>
      <left style="thin">
        <color rgb="FF69B3E4"/>
      </left>
      <right/>
      <top style="thin">
        <color rgb="FF69B3E4"/>
      </top>
      <bottom style="thin">
        <color rgb="FF69B3E4"/>
      </bottom>
      <diagonal/>
    </border>
    <border>
      <left/>
      <right/>
      <top style="thin">
        <color rgb="FF69B3E4"/>
      </top>
      <bottom style="thin">
        <color rgb="FF69B3E4"/>
      </bottom>
      <diagonal/>
    </border>
    <border>
      <left/>
      <right style="thin">
        <color rgb="FF69B3E4"/>
      </right>
      <top style="thin">
        <color rgb="FF69B3E4"/>
      </top>
      <bottom style="thin">
        <color rgb="FF69B3E4"/>
      </bottom>
      <diagonal/>
    </border>
    <border>
      <left style="thin">
        <color rgb="FF69B3E4"/>
      </left>
      <right style="thin">
        <color rgb="FF69B3E4"/>
      </right>
      <top/>
      <bottom style="thin">
        <color rgb="FF69B3E4"/>
      </bottom>
      <diagonal/>
    </border>
    <border>
      <left/>
      <right/>
      <top style="thin">
        <color rgb="FFBF8F00"/>
      </top>
      <bottom style="thin">
        <color rgb="FFBF8F00"/>
      </bottom>
      <diagonal/>
    </border>
    <border>
      <left/>
      <right/>
      <top style="thin">
        <color rgb="FFBF8F00"/>
      </top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69B3E4"/>
      </right>
      <top style="thin">
        <color rgb="FF69B3E4"/>
      </top>
      <bottom/>
      <diagonal/>
    </border>
    <border>
      <left style="thin">
        <color rgb="FF69B3E4"/>
      </left>
      <right style="thin">
        <color rgb="FF69B3E4"/>
      </right>
      <top/>
      <bottom/>
      <diagonal/>
    </border>
    <border>
      <left/>
      <right style="thin">
        <color rgb="FF69B3E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9" fontId="16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wrapText="1"/>
    </xf>
    <xf numFmtId="0" fontId="5" fillId="5" borderId="3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165" fontId="7" fillId="7" borderId="0" xfId="0" applyNumberFormat="1" applyFont="1" applyFill="1" applyAlignment="1">
      <alignment horizontal="right"/>
    </xf>
    <xf numFmtId="164" fontId="7" fillId="7" borderId="0" xfId="0" applyNumberFormat="1" applyFont="1" applyFill="1" applyAlignment="1">
      <alignment horizontal="right"/>
    </xf>
    <xf numFmtId="0" fontId="7" fillId="7" borderId="6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left"/>
    </xf>
    <xf numFmtId="165" fontId="7" fillId="7" borderId="7" xfId="0" applyNumberFormat="1" applyFont="1" applyFill="1" applyBorder="1" applyAlignment="1">
      <alignment horizontal="right"/>
    </xf>
    <xf numFmtId="164" fontId="7" fillId="7" borderId="7" xfId="0" applyNumberFormat="1" applyFont="1" applyFill="1" applyBorder="1" applyAlignment="1">
      <alignment horizontal="right"/>
    </xf>
    <xf numFmtId="0" fontId="7" fillId="7" borderId="3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165" fontId="7" fillId="7" borderId="4" xfId="0" applyNumberFormat="1" applyFont="1" applyFill="1" applyBorder="1" applyAlignment="1">
      <alignment horizontal="right"/>
    </xf>
    <xf numFmtId="164" fontId="7" fillId="7" borderId="4" xfId="0" applyNumberFormat="1" applyFont="1" applyFill="1" applyBorder="1" applyAlignment="1">
      <alignment horizontal="right"/>
    </xf>
    <xf numFmtId="0" fontId="7" fillId="6" borderId="6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165" fontId="7" fillId="6" borderId="7" xfId="0" applyNumberFormat="1" applyFont="1" applyFill="1" applyBorder="1" applyAlignment="1">
      <alignment horizontal="right"/>
    </xf>
    <xf numFmtId="164" fontId="7" fillId="6" borderId="7" xfId="0" applyNumberFormat="1" applyFont="1" applyFill="1" applyBorder="1" applyAlignment="1">
      <alignment horizontal="right"/>
    </xf>
    <xf numFmtId="0" fontId="7" fillId="8" borderId="15" xfId="0" applyFont="1" applyFill="1" applyBorder="1" applyAlignment="1">
      <alignment horizontal="left"/>
    </xf>
    <xf numFmtId="0" fontId="7" fillId="8" borderId="16" xfId="0" applyFont="1" applyFill="1" applyBorder="1" applyAlignment="1">
      <alignment horizontal="left"/>
    </xf>
    <xf numFmtId="165" fontId="7" fillId="8" borderId="16" xfId="0" applyNumberFormat="1" applyFont="1" applyFill="1" applyBorder="1" applyAlignment="1">
      <alignment horizontal="right"/>
    </xf>
    <xf numFmtId="164" fontId="7" fillId="8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164" fontId="4" fillId="6" borderId="0" xfId="0" applyNumberFormat="1" applyFont="1" applyFill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4" fillId="9" borderId="0" xfId="0" applyNumberFormat="1" applyFont="1" applyFill="1" applyAlignment="1">
      <alignment horizontal="right"/>
    </xf>
    <xf numFmtId="164" fontId="9" fillId="9" borderId="1" xfId="0" applyNumberFormat="1" applyFont="1" applyFill="1" applyBorder="1" applyAlignment="1">
      <alignment horizontal="right"/>
    </xf>
    <xf numFmtId="165" fontId="4" fillId="6" borderId="12" xfId="0" applyNumberFormat="1" applyFont="1" applyFill="1" applyBorder="1" applyAlignment="1">
      <alignment horizontal="center"/>
    </xf>
    <xf numFmtId="164" fontId="0" fillId="0" borderId="0" xfId="0" applyNumberFormat="1"/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5" fontId="4" fillId="6" borderId="0" xfId="0" applyNumberFormat="1" applyFont="1" applyFill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9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horizontal="center"/>
    </xf>
    <xf numFmtId="166" fontId="9" fillId="6" borderId="1" xfId="0" applyNumberFormat="1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right"/>
    </xf>
    <xf numFmtId="167" fontId="0" fillId="0" borderId="0" xfId="0" applyNumberFormat="1"/>
    <xf numFmtId="0" fontId="11" fillId="0" borderId="0" xfId="1"/>
    <xf numFmtId="0" fontId="12" fillId="0" borderId="21" xfId="1" applyFont="1" applyBorder="1"/>
    <xf numFmtId="0" fontId="12" fillId="0" borderId="22" xfId="1" applyFont="1" applyBorder="1"/>
    <xf numFmtId="0" fontId="12" fillId="0" borderId="23" xfId="1" applyFont="1" applyBorder="1"/>
    <xf numFmtId="0" fontId="11" fillId="0" borderId="22" xfId="1" applyBorder="1"/>
    <xf numFmtId="0" fontId="11" fillId="0" borderId="0" xfId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1" fillId="0" borderId="26" xfId="1" applyBorder="1" applyAlignment="1">
      <alignment horizontal="center"/>
    </xf>
    <xf numFmtId="0" fontId="11" fillId="0" borderId="26" xfId="1" applyBorder="1"/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1" fontId="11" fillId="0" borderId="26" xfId="1" applyNumberFormat="1" applyBorder="1" applyAlignment="1">
      <alignment horizontal="center"/>
    </xf>
    <xf numFmtId="168" fontId="11" fillId="0" borderId="26" xfId="1" applyNumberFormat="1" applyBorder="1" applyAlignment="1">
      <alignment horizontal="center"/>
    </xf>
    <xf numFmtId="168" fontId="11" fillId="0" borderId="27" xfId="1" applyNumberFormat="1" applyBorder="1" applyAlignment="1">
      <alignment horizontal="center"/>
    </xf>
    <xf numFmtId="1" fontId="11" fillId="0" borderId="0" xfId="1" applyNumberFormat="1" applyAlignment="1">
      <alignment horizontal="center"/>
    </xf>
    <xf numFmtId="0" fontId="11" fillId="0" borderId="28" xfId="1" applyBorder="1" applyAlignment="1">
      <alignment horizontal="center"/>
    </xf>
    <xf numFmtId="168" fontId="11" fillId="0" borderId="28" xfId="1" applyNumberFormat="1" applyBorder="1" applyAlignment="1">
      <alignment horizontal="center"/>
    </xf>
    <xf numFmtId="168" fontId="11" fillId="0" borderId="29" xfId="1" applyNumberFormat="1" applyBorder="1" applyAlignment="1">
      <alignment horizontal="center"/>
    </xf>
    <xf numFmtId="0" fontId="11" fillId="0" borderId="30" xfId="1" applyBorder="1" applyAlignment="1">
      <alignment horizontal="center"/>
    </xf>
    <xf numFmtId="0" fontId="11" fillId="0" borderId="31" xfId="1" applyBorder="1" applyAlignment="1">
      <alignment horizontal="center"/>
    </xf>
    <xf numFmtId="1" fontId="11" fillId="0" borderId="32" xfId="1" applyNumberFormat="1" applyBorder="1" applyAlignment="1">
      <alignment horizontal="center"/>
    </xf>
    <xf numFmtId="169" fontId="11" fillId="0" borderId="32" xfId="1" applyNumberFormat="1" applyBorder="1" applyAlignment="1">
      <alignment horizontal="center"/>
    </xf>
    <xf numFmtId="0" fontId="11" fillId="0" borderId="32" xfId="1" applyBorder="1" applyAlignment="1">
      <alignment horizontal="center"/>
    </xf>
    <xf numFmtId="168" fontId="11" fillId="0" borderId="32" xfId="1" applyNumberFormat="1" applyBorder="1" applyAlignment="1">
      <alignment horizontal="center"/>
    </xf>
    <xf numFmtId="168" fontId="11" fillId="0" borderId="33" xfId="1" applyNumberFormat="1" applyBorder="1" applyAlignment="1">
      <alignment horizontal="center"/>
    </xf>
    <xf numFmtId="0" fontId="11" fillId="0" borderId="17" xfId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11" fillId="0" borderId="27" xfId="1" applyBorder="1" applyAlignment="1">
      <alignment horizontal="center"/>
    </xf>
    <xf numFmtId="14" fontId="11" fillId="0" borderId="26" xfId="1" applyNumberFormat="1" applyBorder="1" applyAlignment="1">
      <alignment horizontal="center"/>
    </xf>
    <xf numFmtId="16" fontId="11" fillId="0" borderId="26" xfId="1" applyNumberFormat="1" applyBorder="1" applyAlignment="1">
      <alignment horizontal="center"/>
    </xf>
    <xf numFmtId="169" fontId="11" fillId="0" borderId="26" xfId="1" applyNumberFormat="1" applyBorder="1" applyAlignment="1">
      <alignment horizontal="center"/>
    </xf>
    <xf numFmtId="168" fontId="11" fillId="0" borderId="34" xfId="1" applyNumberFormat="1" applyBorder="1" applyAlignment="1">
      <alignment horizontal="center"/>
    </xf>
    <xf numFmtId="0" fontId="11" fillId="0" borderId="36" xfId="1" applyBorder="1"/>
    <xf numFmtId="0" fontId="11" fillId="10" borderId="26" xfId="1" applyFill="1" applyBorder="1" applyAlignment="1">
      <alignment horizontal="center"/>
    </xf>
    <xf numFmtId="0" fontId="11" fillId="10" borderId="27" xfId="1" applyFill="1" applyBorder="1" applyAlignment="1">
      <alignment horizontal="center"/>
    </xf>
    <xf numFmtId="169" fontId="11" fillId="0" borderId="0" xfId="1" applyNumberFormat="1" applyAlignment="1">
      <alignment horizontal="center"/>
    </xf>
    <xf numFmtId="2" fontId="11" fillId="0" borderId="0" xfId="1" applyNumberFormat="1" applyAlignment="1">
      <alignment horizontal="center"/>
    </xf>
    <xf numFmtId="0" fontId="11" fillId="0" borderId="27" xfId="1" applyBorder="1"/>
    <xf numFmtId="0" fontId="11" fillId="0" borderId="1" xfId="1" applyBorder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168" fontId="11" fillId="0" borderId="0" xfId="1" applyNumberFormat="1" applyAlignment="1">
      <alignment horizontal="center"/>
    </xf>
    <xf numFmtId="0" fontId="13" fillId="0" borderId="37" xfId="1" applyFont="1" applyBorder="1" applyAlignment="1">
      <alignment horizontal="center"/>
    </xf>
    <xf numFmtId="1" fontId="13" fillId="0" borderId="17" xfId="1" applyNumberFormat="1" applyFont="1" applyBorder="1" applyAlignment="1">
      <alignment horizontal="center"/>
    </xf>
    <xf numFmtId="169" fontId="13" fillId="0" borderId="17" xfId="1" applyNumberFormat="1" applyFont="1" applyBorder="1" applyAlignment="1">
      <alignment horizontal="center"/>
    </xf>
    <xf numFmtId="168" fontId="13" fillId="0" borderId="17" xfId="1" applyNumberFormat="1" applyFont="1" applyBorder="1" applyAlignment="1">
      <alignment horizontal="center"/>
    </xf>
    <xf numFmtId="2" fontId="13" fillId="0" borderId="0" xfId="1" applyNumberFormat="1" applyFont="1" applyAlignment="1">
      <alignment horizontal="center"/>
    </xf>
    <xf numFmtId="168" fontId="13" fillId="0" borderId="0" xfId="1" applyNumberFormat="1" applyFont="1" applyAlignment="1">
      <alignment horizontal="center"/>
    </xf>
    <xf numFmtId="1" fontId="13" fillId="0" borderId="0" xfId="1" applyNumberFormat="1" applyFont="1" applyAlignment="1">
      <alignment horizontal="center"/>
    </xf>
    <xf numFmtId="0" fontId="11" fillId="0" borderId="24" xfId="1" applyBorder="1" applyAlignment="1">
      <alignment horizontal="center"/>
    </xf>
    <xf numFmtId="0" fontId="13" fillId="11" borderId="26" xfId="1" applyFont="1" applyFill="1" applyBorder="1" applyAlignment="1">
      <alignment horizontal="center"/>
    </xf>
    <xf numFmtId="169" fontId="11" fillId="11" borderId="26" xfId="1" applyNumberFormat="1" applyFill="1" applyBorder="1" applyAlignment="1">
      <alignment horizontal="center"/>
    </xf>
    <xf numFmtId="1" fontId="11" fillId="11" borderId="26" xfId="1" applyNumberFormat="1" applyFill="1" applyBorder="1" applyAlignment="1">
      <alignment horizontal="center"/>
    </xf>
    <xf numFmtId="168" fontId="11" fillId="12" borderId="27" xfId="1" applyNumberFormat="1" applyFill="1" applyBorder="1" applyAlignment="1">
      <alignment horizontal="center"/>
    </xf>
    <xf numFmtId="0" fontId="13" fillId="11" borderId="35" xfId="1" applyFont="1" applyFill="1" applyBorder="1" applyAlignment="1">
      <alignment horizontal="center"/>
    </xf>
    <xf numFmtId="0" fontId="11" fillId="0" borderId="36" xfId="1" applyBorder="1" applyAlignment="1">
      <alignment horizontal="center"/>
    </xf>
    <xf numFmtId="0" fontId="11" fillId="0" borderId="17" xfId="1" applyBorder="1"/>
    <xf numFmtId="0" fontId="13" fillId="11" borderId="21" xfId="1" applyFont="1" applyFill="1" applyBorder="1" applyAlignment="1">
      <alignment horizontal="center"/>
    </xf>
    <xf numFmtId="1" fontId="13" fillId="11" borderId="22" xfId="1" applyNumberFormat="1" applyFont="1" applyFill="1" applyBorder="1" applyAlignment="1">
      <alignment horizontal="center"/>
    </xf>
    <xf numFmtId="169" fontId="13" fillId="11" borderId="22" xfId="1" applyNumberFormat="1" applyFont="1" applyFill="1" applyBorder="1" applyAlignment="1">
      <alignment horizontal="center"/>
    </xf>
    <xf numFmtId="168" fontId="13" fillId="11" borderId="22" xfId="1" applyNumberFormat="1" applyFont="1" applyFill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13" fillId="0" borderId="22" xfId="1" applyNumberFormat="1" applyFont="1" applyBorder="1" applyAlignment="1">
      <alignment horizontal="center"/>
    </xf>
    <xf numFmtId="169" fontId="13" fillId="0" borderId="22" xfId="1" applyNumberFormat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168" fontId="13" fillId="0" borderId="22" xfId="1" applyNumberFormat="1" applyFont="1" applyBorder="1" applyAlignment="1">
      <alignment horizontal="center"/>
    </xf>
    <xf numFmtId="0" fontId="11" fillId="0" borderId="26" xfId="1" applyBorder="1" applyAlignment="1">
      <alignment horizontal="left"/>
    </xf>
    <xf numFmtId="165" fontId="4" fillId="6" borderId="11" xfId="0" applyNumberFormat="1" applyFont="1" applyFill="1" applyBorder="1" applyAlignment="1">
      <alignment horizontal="center"/>
    </xf>
    <xf numFmtId="0" fontId="0" fillId="6" borderId="0" xfId="0" applyFill="1"/>
    <xf numFmtId="165" fontId="4" fillId="6" borderId="8" xfId="0" applyNumberFormat="1" applyFont="1" applyFill="1" applyBorder="1" applyAlignment="1">
      <alignment horizontal="center"/>
    </xf>
    <xf numFmtId="165" fontId="4" fillId="6" borderId="19" xfId="0" applyNumberFormat="1" applyFont="1" applyFill="1" applyBorder="1" applyAlignment="1">
      <alignment horizontal="center"/>
    </xf>
    <xf numFmtId="165" fontId="4" fillId="6" borderId="18" xfId="0" applyNumberFormat="1" applyFont="1" applyFill="1" applyBorder="1" applyAlignment="1">
      <alignment horizontal="center"/>
    </xf>
    <xf numFmtId="170" fontId="4" fillId="6" borderId="20" xfId="2" applyNumberFormat="1" applyFont="1" applyFill="1" applyBorder="1" applyAlignment="1">
      <alignment horizontal="center"/>
    </xf>
    <xf numFmtId="9" fontId="4" fillId="6" borderId="19" xfId="2" applyFont="1" applyFill="1" applyBorder="1" applyAlignment="1">
      <alignment horizontal="center"/>
    </xf>
    <xf numFmtId="165" fontId="4" fillId="6" borderId="20" xfId="0" applyNumberFormat="1" applyFont="1" applyFill="1" applyBorder="1" applyAlignment="1">
      <alignment horizontal="center"/>
    </xf>
    <xf numFmtId="165" fontId="0" fillId="0" borderId="0" xfId="0" applyNumberFormat="1"/>
    <xf numFmtId="0" fontId="5" fillId="5" borderId="10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0" fontId="13" fillId="0" borderId="27" xfId="1" applyFont="1" applyBorder="1" applyAlignment="1">
      <alignment horizontal="center"/>
    </xf>
    <xf numFmtId="0" fontId="13" fillId="0" borderId="34" xfId="1" applyFont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1" fillId="0" borderId="27" xfId="1" applyBorder="1" applyAlignment="1">
      <alignment horizontal="center"/>
    </xf>
    <xf numFmtId="0" fontId="11" fillId="0" borderId="35" xfId="1" applyBorder="1" applyAlignment="1">
      <alignment horizontal="center"/>
    </xf>
    <xf numFmtId="1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center"/>
    </xf>
    <xf numFmtId="9" fontId="4" fillId="2" borderId="0" xfId="2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1" fontId="4" fillId="1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left"/>
    </xf>
    <xf numFmtId="0" fontId="4" fillId="2" borderId="7" xfId="0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9" fontId="4" fillId="2" borderId="0" xfId="2" applyFont="1" applyFill="1" applyAlignment="1">
      <alignment horizontal="right"/>
    </xf>
    <xf numFmtId="1" fontId="4" fillId="10" borderId="0" xfId="0" applyNumberFormat="1" applyFont="1" applyFill="1" applyAlignment="1">
      <alignment horizontal="right"/>
    </xf>
    <xf numFmtId="1" fontId="4" fillId="10" borderId="7" xfId="0" applyNumberFormat="1" applyFont="1" applyFill="1" applyBorder="1" applyAlignment="1">
      <alignment horizontal="right"/>
    </xf>
    <xf numFmtId="165" fontId="4" fillId="6" borderId="4" xfId="0" applyNumberFormat="1" applyFont="1" applyFill="1" applyBorder="1" applyAlignment="1">
      <alignment horizontal="center"/>
    </xf>
    <xf numFmtId="9" fontId="4" fillId="6" borderId="0" xfId="2" applyFont="1" applyFill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8" fillId="0" borderId="17" xfId="3" applyFont="1" applyBorder="1" applyAlignment="1">
      <alignment horizontal="center"/>
    </xf>
    <xf numFmtId="0" fontId="18" fillId="6" borderId="17" xfId="3" applyFont="1" applyFill="1" applyBorder="1" applyAlignment="1">
      <alignment horizontal="center"/>
    </xf>
    <xf numFmtId="0" fontId="18" fillId="0" borderId="0" xfId="3" applyFont="1" applyAlignment="1">
      <alignment horizontal="center"/>
    </xf>
    <xf numFmtId="0" fontId="1" fillId="0" borderId="0" xfId="3"/>
    <xf numFmtId="49" fontId="19" fillId="2" borderId="0" xfId="3" applyNumberFormat="1" applyFont="1" applyFill="1"/>
    <xf numFmtId="49" fontId="19" fillId="6" borderId="0" xfId="3" applyNumberFormat="1" applyFont="1" applyFill="1"/>
    <xf numFmtId="49" fontId="19" fillId="6" borderId="0" xfId="3" applyNumberFormat="1" applyFont="1" applyFill="1" applyAlignment="1">
      <alignment horizontal="center"/>
    </xf>
    <xf numFmtId="49" fontId="19" fillId="10" borderId="0" xfId="3" applyNumberFormat="1" applyFont="1" applyFill="1"/>
    <xf numFmtId="14" fontId="19" fillId="2" borderId="0" xfId="3" applyNumberFormat="1" applyFont="1" applyFill="1"/>
    <xf numFmtId="173" fontId="19" fillId="2" borderId="0" xfId="3" applyNumberFormat="1" applyFont="1" applyFill="1"/>
    <xf numFmtId="0" fontId="1" fillId="0" borderId="0" xfId="3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9" fontId="4" fillId="10" borderId="0" xfId="2" applyFont="1" applyFill="1" applyAlignment="1">
      <alignment horizontal="center"/>
    </xf>
    <xf numFmtId="165" fontId="4" fillId="10" borderId="19" xfId="0" applyNumberFormat="1" applyFont="1" applyFill="1" applyBorder="1" applyAlignment="1">
      <alignment horizontal="center"/>
    </xf>
    <xf numFmtId="9" fontId="4" fillId="10" borderId="19" xfId="2" applyFont="1" applyFill="1" applyBorder="1" applyAlignment="1">
      <alignment horizontal="center"/>
    </xf>
    <xf numFmtId="165" fontId="4" fillId="10" borderId="12" xfId="0" applyNumberFormat="1" applyFont="1" applyFill="1" applyBorder="1" applyAlignment="1">
      <alignment horizontal="center"/>
    </xf>
    <xf numFmtId="165" fontId="4" fillId="10" borderId="0" xfId="0" applyNumberFormat="1" applyFont="1" applyFill="1" applyAlignment="1">
      <alignment horizontal="right"/>
    </xf>
    <xf numFmtId="164" fontId="4" fillId="10" borderId="0" xfId="0" applyNumberFormat="1" applyFont="1" applyFill="1" applyAlignment="1">
      <alignment horizontal="right"/>
    </xf>
    <xf numFmtId="165" fontId="4" fillId="10" borderId="4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F4CD8832-971E-4898-93E2-7778AF236323}"/>
    <cellStyle name="Normal 3" xfId="3" xr:uid="{622343B7-3D67-4E60-87BA-C33E84F44B9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A788-96EC-4DC2-8445-77FBF8A4007E}">
  <dimension ref="B2:K50"/>
  <sheetViews>
    <sheetView showGridLines="0" tabSelected="1" view="pageBreakPreview" zoomScale="130" zoomScaleNormal="100" zoomScaleSheetLayoutView="130" workbookViewId="0">
      <selection activeCell="J49" sqref="J49"/>
    </sheetView>
  </sheetViews>
  <sheetFormatPr defaultRowHeight="15" customHeight="1" outlineLevelRow="1" x14ac:dyDescent="0.3"/>
  <cols>
    <col min="2" max="2" width="6.6640625" style="3" bestFit="1" customWidth="1"/>
    <col min="3" max="3" width="31.6640625" style="3" customWidth="1"/>
    <col min="4" max="7" width="8.6640625" style="3" customWidth="1"/>
    <col min="8" max="11" width="8.6640625" customWidth="1"/>
  </cols>
  <sheetData>
    <row r="2" spans="2:11" ht="25.8" x14ac:dyDescent="0.5">
      <c r="B2" s="12" t="s">
        <v>115</v>
      </c>
    </row>
    <row r="4" spans="2:11" ht="15" customHeight="1" x14ac:dyDescent="0.3">
      <c r="B4" s="13" t="s">
        <v>75</v>
      </c>
      <c r="C4" s="14"/>
      <c r="D4" s="15" t="s">
        <v>76</v>
      </c>
      <c r="E4" s="14"/>
      <c r="F4" s="14" t="s">
        <v>193</v>
      </c>
      <c r="G4" s="14"/>
      <c r="H4" s="15" t="s">
        <v>192</v>
      </c>
      <c r="J4" s="15" t="s">
        <v>190</v>
      </c>
    </row>
    <row r="5" spans="2:11" ht="15" customHeight="1" x14ac:dyDescent="0.3">
      <c r="B5" s="16" t="s">
        <v>130</v>
      </c>
      <c r="D5" s="156">
        <f>D7/(1-D6)</f>
        <v>16842.105263157897</v>
      </c>
      <c r="F5" s="160">
        <f>F7/(1-F6)</f>
        <v>16802.126315789472</v>
      </c>
      <c r="H5" s="141">
        <f>F5*4/3</f>
        <v>22402.835087719297</v>
      </c>
      <c r="J5" s="186">
        <f>J7/(1-J6)</f>
        <v>22315.78947368421</v>
      </c>
    </row>
    <row r="6" spans="2:11" ht="15" customHeight="1" x14ac:dyDescent="0.3">
      <c r="B6" s="16" t="s">
        <v>131</v>
      </c>
      <c r="D6" s="157">
        <v>0.05</v>
      </c>
      <c r="F6" s="185">
        <v>0.05</v>
      </c>
      <c r="H6" s="142">
        <f>(H5-H7)/H5</f>
        <v>4.9999999999999975E-2</v>
      </c>
      <c r="J6" s="187">
        <v>0.05</v>
      </c>
    </row>
    <row r="7" spans="2:11" ht="15" customHeight="1" x14ac:dyDescent="0.3">
      <c r="B7" s="17" t="s">
        <v>132</v>
      </c>
      <c r="C7" s="18"/>
      <c r="D7" s="158">
        <v>16000</v>
      </c>
      <c r="E7" s="18"/>
      <c r="F7" s="184">
        <v>15962.019999999999</v>
      </c>
      <c r="G7" s="18"/>
      <c r="H7" s="139">
        <f>F7*4/3</f>
        <v>21282.693333333333</v>
      </c>
      <c r="J7" s="188">
        <v>21200</v>
      </c>
    </row>
    <row r="8" spans="2:11" ht="15" customHeight="1" x14ac:dyDescent="0.3">
      <c r="H8" s="8"/>
    </row>
    <row r="9" spans="2:11" ht="17.100000000000001" customHeight="1" x14ac:dyDescent="0.3"/>
    <row r="10" spans="2:11" ht="15" customHeight="1" x14ac:dyDescent="0.3">
      <c r="B10" s="10"/>
      <c r="C10" s="11"/>
      <c r="D10" s="146" t="s">
        <v>1</v>
      </c>
      <c r="E10" s="146"/>
      <c r="F10" s="146" t="s">
        <v>188</v>
      </c>
      <c r="G10" s="146"/>
      <c r="H10" s="146" t="s">
        <v>189</v>
      </c>
      <c r="I10" s="146"/>
      <c r="J10" s="147" t="s">
        <v>191</v>
      </c>
      <c r="K10" s="147"/>
    </row>
    <row r="11" spans="2:11" ht="15" customHeight="1" x14ac:dyDescent="0.3">
      <c r="B11" s="10"/>
      <c r="C11" s="11"/>
      <c r="D11" s="11" t="s">
        <v>2</v>
      </c>
      <c r="E11" s="11" t="s">
        <v>187</v>
      </c>
      <c r="F11" s="11" t="s">
        <v>2</v>
      </c>
      <c r="G11" s="11" t="s">
        <v>187</v>
      </c>
      <c r="H11" s="11" t="s">
        <v>2</v>
      </c>
      <c r="I11" s="11" t="s">
        <v>187</v>
      </c>
      <c r="J11" s="19" t="s">
        <v>2</v>
      </c>
      <c r="K11" s="19" t="str">
        <f>"Kč/m"&amp;UPPER("3")</f>
        <v>Kč/m3</v>
      </c>
    </row>
    <row r="12" spans="2:11" ht="15" customHeight="1" x14ac:dyDescent="0.3">
      <c r="B12" s="20" t="s">
        <v>3</v>
      </c>
      <c r="C12" s="21" t="s">
        <v>4</v>
      </c>
      <c r="D12" s="22">
        <f>SUM(D13:D16)</f>
        <v>38734.210526315794</v>
      </c>
      <c r="E12" s="23">
        <f>IFERROR(D12/$D$7,"n/a")</f>
        <v>2.420888157894737</v>
      </c>
      <c r="F12" s="22">
        <f>SUM(F13:F16)</f>
        <v>11879.240000000002</v>
      </c>
      <c r="G12" s="23">
        <f>IFERROR(F12/$F$7,"n/a")</f>
        <v>0.74421909006504205</v>
      </c>
      <c r="H12" s="22">
        <f>SUM(H13:H16)</f>
        <v>15838.986666666669</v>
      </c>
      <c r="I12" s="23">
        <f>IFERROR(H12/$H$7,"n/a")</f>
        <v>0.74421909006504205</v>
      </c>
      <c r="J12" s="22">
        <f>SUM(J13:J16)</f>
        <v>59231.57894736842</v>
      </c>
      <c r="K12" s="23">
        <f>IFERROR(J12/$J$7,"n/a")</f>
        <v>2.7939424031777556</v>
      </c>
    </row>
    <row r="13" spans="2:11" ht="15" customHeight="1" x14ac:dyDescent="0.3">
      <c r="B13" s="16" t="s">
        <v>135</v>
      </c>
      <c r="C13" s="3" t="s">
        <v>136</v>
      </c>
      <c r="D13" s="6">
        <v>33684.210526315794</v>
      </c>
      <c r="E13" s="4">
        <f t="shared" ref="E13:E49" si="0">IFERROR(D13/$D$7,"n/a")</f>
        <v>2.1052631578947372</v>
      </c>
      <c r="F13" s="6">
        <f>SUMIFS('skutečné náklady 25'!$J:$J,'skutečné náklady 25'!$F:$F,"Mochtín",'skutečné náklady 25'!$E:$E,"vodné",'skutečné náklady 25'!$L:$L,$B13)</f>
        <v>0</v>
      </c>
      <c r="G13" s="4">
        <f t="shared" ref="G13:G38" si="1">IFERROR(F13/$F$7,"n/a")</f>
        <v>0</v>
      </c>
      <c r="H13" s="6">
        <f>F13*4/3</f>
        <v>0</v>
      </c>
      <c r="I13" s="4">
        <f t="shared" ref="G13:I36" si="2">IFERROR(H13/$H$7,"n/a")</f>
        <v>0</v>
      </c>
      <c r="J13" s="6">
        <f>'Předpoklady Mochtín V'!H5</f>
        <v>44631.57894736842</v>
      </c>
      <c r="K13" s="4">
        <f t="shared" ref="K13" si="3">IFERROR(J13/$J$7,"n/a")</f>
        <v>2.1052631578947367</v>
      </c>
    </row>
    <row r="14" spans="2:11" ht="15" customHeight="1" x14ac:dyDescent="0.3">
      <c r="B14" s="16" t="s">
        <v>5</v>
      </c>
      <c r="C14" s="3" t="s">
        <v>78</v>
      </c>
      <c r="D14" s="6">
        <v>0</v>
      </c>
      <c r="E14" s="4">
        <f t="shared" si="0"/>
        <v>0</v>
      </c>
      <c r="F14" s="6">
        <f>SUMIFS('skutečné náklady 25'!$J:$J,'skutečné náklady 25'!$F:$F,"Mochtín",'skutečné náklady 25'!$E:$E,"vodné",'skutečné náklady 25'!$L:$L,$B14)</f>
        <v>0</v>
      </c>
      <c r="G14" s="4">
        <f t="shared" si="1"/>
        <v>0</v>
      </c>
      <c r="H14" s="6">
        <f t="shared" ref="H14:H32" si="4">F14*4/3</f>
        <v>0</v>
      </c>
      <c r="I14" s="4">
        <f t="shared" si="2"/>
        <v>0</v>
      </c>
      <c r="J14" s="6">
        <v>0</v>
      </c>
      <c r="K14" s="4">
        <f t="shared" ref="K14:K36" si="5">IFERROR(J14/$J$7,"n/a")</f>
        <v>0</v>
      </c>
    </row>
    <row r="15" spans="2:11" ht="15" customHeight="1" x14ac:dyDescent="0.3">
      <c r="B15" s="16" t="s">
        <v>6</v>
      </c>
      <c r="C15" s="3" t="s">
        <v>7</v>
      </c>
      <c r="D15" s="6">
        <v>0</v>
      </c>
      <c r="E15" s="4">
        <f t="shared" si="0"/>
        <v>0</v>
      </c>
      <c r="F15" s="6">
        <f>SUMIFS('skutečné náklady 25'!$J:$J,'skutečné náklady 25'!$F:$F,"Mochtín",'skutečné náklady 25'!$E:$E,"vodné",'skutečné náklady 25'!$L:$L,$B15)</f>
        <v>412.5</v>
      </c>
      <c r="G15" s="4">
        <f t="shared" si="1"/>
        <v>2.5842593857168455E-2</v>
      </c>
      <c r="H15" s="6">
        <f t="shared" si="4"/>
        <v>550</v>
      </c>
      <c r="I15" s="4">
        <f t="shared" si="2"/>
        <v>2.5842593857168455E-2</v>
      </c>
      <c r="J15" s="4">
        <f>'Předpoklady Mochtín V'!H9</f>
        <v>550</v>
      </c>
      <c r="K15" s="4">
        <f t="shared" si="5"/>
        <v>2.5943396226415096E-2</v>
      </c>
    </row>
    <row r="16" spans="2:11" ht="15" customHeight="1" x14ac:dyDescent="0.3">
      <c r="B16" s="16" t="s">
        <v>8</v>
      </c>
      <c r="C16" s="3" t="s">
        <v>9</v>
      </c>
      <c r="D16" s="6">
        <v>5050</v>
      </c>
      <c r="E16" s="4">
        <f t="shared" si="0"/>
        <v>0.31562499999999999</v>
      </c>
      <c r="F16" s="6">
        <f>SUMIFS('skutečné náklady 25'!$J:$J,'skutečné náklady 25'!$F:$F,"Mochtín",'skutečné náklady 25'!$E:$E,"vodné",'skutečné náklady 25'!$L:$L,$B16)</f>
        <v>11466.740000000002</v>
      </c>
      <c r="G16" s="4">
        <f t="shared" si="1"/>
        <v>0.71837649620787358</v>
      </c>
      <c r="H16" s="6">
        <f t="shared" si="4"/>
        <v>15288.986666666669</v>
      </c>
      <c r="I16" s="4">
        <f t="shared" si="2"/>
        <v>0.71837649620787358</v>
      </c>
      <c r="J16" s="6">
        <f>SUM('Předpoklady Mochtín V'!H13:H14)</f>
        <v>14050</v>
      </c>
      <c r="K16" s="4">
        <f t="shared" si="5"/>
        <v>0.66273584905660377</v>
      </c>
    </row>
    <row r="17" spans="2:11" ht="15" customHeight="1" x14ac:dyDescent="0.3">
      <c r="B17" s="20" t="s">
        <v>10</v>
      </c>
      <c r="C17" s="21" t="s">
        <v>11</v>
      </c>
      <c r="D17" s="22">
        <f>SUM(D18:D19)</f>
        <v>84118.079399999973</v>
      </c>
      <c r="E17" s="23">
        <f t="shared" si="0"/>
        <v>5.2573799624999982</v>
      </c>
      <c r="F17" s="22">
        <f>SUM(F18:F19)</f>
        <v>81806.429999999993</v>
      </c>
      <c r="G17" s="23">
        <f t="shared" si="1"/>
        <v>5.1250675039875908</v>
      </c>
      <c r="H17" s="22">
        <f>SUM(H18:H19)</f>
        <v>109075.23999999999</v>
      </c>
      <c r="I17" s="23">
        <f t="shared" si="2"/>
        <v>5.1250675039875899</v>
      </c>
      <c r="J17" s="22">
        <f>SUM(J18:J19)</f>
        <v>109075.23999999999</v>
      </c>
      <c r="K17" s="23">
        <f t="shared" si="5"/>
        <v>5.1450584905660373</v>
      </c>
    </row>
    <row r="18" spans="2:11" ht="15" customHeight="1" x14ac:dyDescent="0.3">
      <c r="B18" s="16" t="s">
        <v>12</v>
      </c>
      <c r="C18" s="3" t="s">
        <v>13</v>
      </c>
      <c r="D18" s="6">
        <v>84118.079399999973</v>
      </c>
      <c r="E18" s="4">
        <f t="shared" si="0"/>
        <v>5.2573799624999982</v>
      </c>
      <c r="F18" s="6">
        <f>SUMIFS('skutečné náklady 25'!$J:$J,'skutečné náklady 25'!$F:$F,"Mochtín",'skutečné náklady 25'!$E:$E,"vodné",'skutečné náklady 25'!$L:$L,$B18)</f>
        <v>81806.429999999993</v>
      </c>
      <c r="G18" s="4">
        <f t="shared" si="1"/>
        <v>5.1250675039875908</v>
      </c>
      <c r="H18" s="6">
        <f t="shared" si="4"/>
        <v>109075.23999999999</v>
      </c>
      <c r="I18" s="4">
        <f t="shared" si="2"/>
        <v>5.1250675039875899</v>
      </c>
      <c r="J18" s="6">
        <f>'Předpoklady Mochtín V'!H20</f>
        <v>109075.23999999999</v>
      </c>
      <c r="K18" s="4">
        <f t="shared" si="5"/>
        <v>5.1450584905660373</v>
      </c>
    </row>
    <row r="19" spans="2:11" ht="15" customHeight="1" x14ac:dyDescent="0.3">
      <c r="B19" s="16" t="s">
        <v>14</v>
      </c>
      <c r="C19" s="3" t="s">
        <v>15</v>
      </c>
      <c r="D19" s="6">
        <v>0</v>
      </c>
      <c r="E19" s="4">
        <f t="shared" si="0"/>
        <v>0</v>
      </c>
      <c r="F19" s="6">
        <f>SUMIFS('skutečné náklady 25'!$J:$J,'skutečné náklady 25'!$F:$F,"Mochtín",'skutečné náklady 25'!$E:$E,"vodné",'skutečné náklady 25'!$L:$L,$B19)</f>
        <v>0</v>
      </c>
      <c r="G19" s="4">
        <f t="shared" si="1"/>
        <v>0</v>
      </c>
      <c r="H19" s="6">
        <f t="shared" si="4"/>
        <v>0</v>
      </c>
      <c r="I19" s="4">
        <f t="shared" si="2"/>
        <v>0</v>
      </c>
      <c r="J19" s="4">
        <v>0</v>
      </c>
      <c r="K19" s="4">
        <f t="shared" si="5"/>
        <v>0</v>
      </c>
    </row>
    <row r="20" spans="2:11" ht="15" customHeight="1" x14ac:dyDescent="0.3">
      <c r="B20" s="20" t="s">
        <v>16</v>
      </c>
      <c r="C20" s="21" t="s">
        <v>17</v>
      </c>
      <c r="D20" s="22">
        <f>SUM(D21:D22)</f>
        <v>0</v>
      </c>
      <c r="E20" s="23">
        <f t="shared" si="0"/>
        <v>0</v>
      </c>
      <c r="F20" s="22">
        <f>SUM(F21:F22)</f>
        <v>7200</v>
      </c>
      <c r="G20" s="23">
        <f t="shared" si="1"/>
        <v>0.45107072914330398</v>
      </c>
      <c r="H20" s="22">
        <f>SUM(H21:H22)</f>
        <v>9600</v>
      </c>
      <c r="I20" s="23">
        <f t="shared" si="2"/>
        <v>0.45107072914330393</v>
      </c>
      <c r="J20" s="22">
        <f>SUM(J21:J22)</f>
        <v>9600</v>
      </c>
      <c r="K20" s="23">
        <f t="shared" si="5"/>
        <v>0.45283018867924529</v>
      </c>
    </row>
    <row r="21" spans="2:11" ht="15" customHeight="1" x14ac:dyDescent="0.3">
      <c r="B21" s="16" t="s">
        <v>18</v>
      </c>
      <c r="C21" s="3" t="s">
        <v>19</v>
      </c>
      <c r="D21" s="6">
        <v>0</v>
      </c>
      <c r="E21" s="4">
        <f t="shared" si="0"/>
        <v>0</v>
      </c>
      <c r="F21" s="6">
        <f>SUMIFS('skutečné náklady 25'!$J:$J,'skutečné náklady 25'!$F:$F,"Mochtín",'skutečné náklady 25'!$E:$E,"vodné",'skutečné náklady 25'!$L:$L,$B21)</f>
        <v>0</v>
      </c>
      <c r="G21" s="4">
        <f t="shared" si="1"/>
        <v>0</v>
      </c>
      <c r="H21" s="6">
        <f t="shared" si="4"/>
        <v>0</v>
      </c>
      <c r="I21" s="4">
        <f t="shared" si="2"/>
        <v>0</v>
      </c>
      <c r="J21" s="6">
        <v>0</v>
      </c>
      <c r="K21" s="4">
        <f t="shared" si="5"/>
        <v>0</v>
      </c>
    </row>
    <row r="22" spans="2:11" ht="15" customHeight="1" x14ac:dyDescent="0.3">
      <c r="B22" s="16" t="s">
        <v>20</v>
      </c>
      <c r="C22" s="3" t="s">
        <v>21</v>
      </c>
      <c r="D22" s="6">
        <v>0</v>
      </c>
      <c r="E22" s="4">
        <f t="shared" si="0"/>
        <v>0</v>
      </c>
      <c r="F22" s="6">
        <f>SUMIFS('skutečné náklady 25'!$J:$J,'skutečné náklady 25'!$F:$F,"Mochtín",'skutečné náklady 25'!$E:$E,"vodné",'skutečné náklady 25'!$L:$L,$B22)</f>
        <v>7200</v>
      </c>
      <c r="G22" s="4">
        <f t="shared" si="1"/>
        <v>0.45107072914330398</v>
      </c>
      <c r="H22" s="6">
        <f t="shared" si="4"/>
        <v>9600</v>
      </c>
      <c r="I22" s="4">
        <f t="shared" si="2"/>
        <v>0.45107072914330393</v>
      </c>
      <c r="J22" s="6">
        <f>'Předpoklady Mochtín V'!H25</f>
        <v>9600</v>
      </c>
      <c r="K22" s="4">
        <f t="shared" si="5"/>
        <v>0.45283018867924529</v>
      </c>
    </row>
    <row r="23" spans="2:11" ht="15" customHeight="1" x14ac:dyDescent="0.3">
      <c r="B23" s="20" t="s">
        <v>22</v>
      </c>
      <c r="C23" s="21" t="s">
        <v>23</v>
      </c>
      <c r="D23" s="22">
        <f>SUM(D24:D26,D27)</f>
        <v>231775.59999999998</v>
      </c>
      <c r="E23" s="23">
        <f t="shared" si="0"/>
        <v>14.485974999999998</v>
      </c>
      <c r="F23" s="22">
        <f>SUM(F24:F26,F27)</f>
        <v>393400.97000000003</v>
      </c>
      <c r="G23" s="23">
        <f t="shared" si="1"/>
        <v>24.64606421994209</v>
      </c>
      <c r="H23" s="22">
        <f>SUM(H24:H26,H27)</f>
        <v>524534.62666666671</v>
      </c>
      <c r="I23" s="23">
        <f t="shared" si="2"/>
        <v>24.64606421994209</v>
      </c>
      <c r="J23" s="22">
        <f>SUM(J24:J26,J27)</f>
        <v>216606.66666666669</v>
      </c>
      <c r="K23" s="23">
        <f t="shared" si="5"/>
        <v>10.217295597484277</v>
      </c>
    </row>
    <row r="24" spans="2:11" ht="15" customHeight="1" x14ac:dyDescent="0.3">
      <c r="B24" s="16" t="s">
        <v>24</v>
      </c>
      <c r="C24" s="3" t="s">
        <v>25</v>
      </c>
      <c r="D24" s="6">
        <v>146775.59999999998</v>
      </c>
      <c r="E24" s="4">
        <f t="shared" si="0"/>
        <v>9.173474999999998</v>
      </c>
      <c r="F24" s="6">
        <f>SUMIFS('skutečné náklady 25'!$J:$J,'skutečné náklady 25'!$F:$F,"Mochtín",'skutečné náklady 25'!$E:$E,"vodné",'skutečné náklady 25'!$L:$L,$B24)</f>
        <v>81455</v>
      </c>
      <c r="G24" s="4">
        <f t="shared" si="1"/>
        <v>5.103050866995531</v>
      </c>
      <c r="H24" s="6">
        <f t="shared" si="4"/>
        <v>108606.66666666667</v>
      </c>
      <c r="I24" s="4">
        <f t="shared" si="2"/>
        <v>5.103050866995531</v>
      </c>
      <c r="J24" s="6">
        <f>H24</f>
        <v>108606.66666666667</v>
      </c>
      <c r="K24" s="4">
        <f t="shared" si="5"/>
        <v>5.1229559748427675</v>
      </c>
    </row>
    <row r="25" spans="2:11" ht="15" customHeight="1" x14ac:dyDescent="0.3">
      <c r="B25" s="16" t="s">
        <v>26</v>
      </c>
      <c r="C25" s="3" t="s">
        <v>27</v>
      </c>
      <c r="D25" s="6">
        <v>0</v>
      </c>
      <c r="E25" s="4">
        <f t="shared" si="0"/>
        <v>0</v>
      </c>
      <c r="F25" s="6">
        <f>SUMIFS('skutečné náklady 25'!$J:$J,'skutečné náklady 25'!$F:$F,"Mochtín",'skutečné náklady 25'!$E:$E,"vodné",'skutečné náklady 25'!$L:$L,$B25)</f>
        <v>0</v>
      </c>
      <c r="G25" s="4">
        <f t="shared" si="1"/>
        <v>0</v>
      </c>
      <c r="H25" s="6">
        <f t="shared" si="4"/>
        <v>0</v>
      </c>
      <c r="I25" s="4">
        <f t="shared" si="2"/>
        <v>0</v>
      </c>
      <c r="J25" s="6">
        <v>0</v>
      </c>
      <c r="K25" s="4">
        <f t="shared" si="5"/>
        <v>0</v>
      </c>
    </row>
    <row r="26" spans="2:11" ht="15" customHeight="1" x14ac:dyDescent="0.3">
      <c r="B26" s="16" t="s">
        <v>28</v>
      </c>
      <c r="C26" s="3" t="s">
        <v>29</v>
      </c>
      <c r="D26" s="6">
        <v>85000</v>
      </c>
      <c r="E26" s="4">
        <f t="shared" si="0"/>
        <v>5.3125</v>
      </c>
      <c r="F26" s="6">
        <f>SUMIFS('skutečné náklady 25'!$J:$J,'skutečné náklady 25'!$F:$F,"Mochtín",'skutečné náklady 25'!$E:$E,"vodné",'skutečné náklady 25'!$L:$L,$B26)</f>
        <v>311945.97000000003</v>
      </c>
      <c r="G26" s="4">
        <f t="shared" si="1"/>
        <v>19.543013352946559</v>
      </c>
      <c r="H26" s="6">
        <f t="shared" si="4"/>
        <v>415927.96</v>
      </c>
      <c r="I26" s="4">
        <f t="shared" si="2"/>
        <v>19.543013352946559</v>
      </c>
      <c r="J26" s="6">
        <f>'Předpoklady Mochtín V'!H30</f>
        <v>108000</v>
      </c>
      <c r="K26" s="4">
        <f t="shared" si="5"/>
        <v>5.0943396226415096</v>
      </c>
    </row>
    <row r="27" spans="2:11" ht="15" customHeight="1" x14ac:dyDescent="0.3">
      <c r="B27" s="16" t="s">
        <v>30</v>
      </c>
      <c r="C27" s="3" t="s">
        <v>31</v>
      </c>
      <c r="D27" s="6">
        <v>0</v>
      </c>
      <c r="E27" s="4">
        <f t="shared" si="0"/>
        <v>0</v>
      </c>
      <c r="F27" s="6">
        <f>SUMIFS('skutečné náklady 25'!$J:$J,'skutečné náklady 25'!$F:$F,"Mochtín",'skutečné náklady 25'!$E:$E,"vodné",'skutečné náklady 25'!$L:$L,$B27)</f>
        <v>0</v>
      </c>
      <c r="G27" s="4">
        <f t="shared" si="1"/>
        <v>0</v>
      </c>
      <c r="H27" s="6">
        <f t="shared" si="4"/>
        <v>0</v>
      </c>
      <c r="I27" s="4">
        <f t="shared" si="2"/>
        <v>0</v>
      </c>
      <c r="J27" s="4">
        <v>0</v>
      </c>
      <c r="K27" s="4">
        <f t="shared" si="5"/>
        <v>0</v>
      </c>
    </row>
    <row r="28" spans="2:11" ht="15" customHeight="1" x14ac:dyDescent="0.3">
      <c r="B28" s="20" t="s">
        <v>32</v>
      </c>
      <c r="C28" s="21" t="s">
        <v>33</v>
      </c>
      <c r="D28" s="22">
        <f>SUM(D29:D29,D30)</f>
        <v>30756.7</v>
      </c>
      <c r="E28" s="23">
        <f t="shared" si="0"/>
        <v>1.9222937500000001</v>
      </c>
      <c r="F28" s="22">
        <f>SUM(F29:F29,F30)</f>
        <v>45155</v>
      </c>
      <c r="G28" s="23">
        <f t="shared" si="1"/>
        <v>2.8289026075647068</v>
      </c>
      <c r="H28" s="22">
        <f>SUM(H29:H29,H30)</f>
        <v>60206.666666666664</v>
      </c>
      <c r="I28" s="23">
        <f t="shared" si="2"/>
        <v>2.8289026075647068</v>
      </c>
      <c r="J28" s="22">
        <f>SUM(J29:J29,J30)</f>
        <v>62993.8</v>
      </c>
      <c r="K28" s="23">
        <f t="shared" si="5"/>
        <v>2.9714056603773584</v>
      </c>
    </row>
    <row r="29" spans="2:11" ht="15" customHeight="1" x14ac:dyDescent="0.3">
      <c r="B29" s="16" t="s">
        <v>34</v>
      </c>
      <c r="C29" s="3" t="s">
        <v>35</v>
      </c>
      <c r="D29" s="6">
        <v>30756.7</v>
      </c>
      <c r="E29" s="4">
        <f t="shared" si="0"/>
        <v>1.9222937500000001</v>
      </c>
      <c r="F29" s="6">
        <f>SUMIFS('skutečné náklady 25'!$J:$J,'skutečné náklady 25'!$F:$F,"Mochtín",'skutečné náklady 25'!$E:$E,"vodné",'skutečné náklady 25'!$L:$L,$B29)</f>
        <v>45155</v>
      </c>
      <c r="G29" s="4">
        <f t="shared" si="1"/>
        <v>2.8289026075647068</v>
      </c>
      <c r="H29" s="6">
        <f t="shared" si="4"/>
        <v>60206.666666666664</v>
      </c>
      <c r="I29" s="4">
        <f t="shared" si="2"/>
        <v>2.8289026075647068</v>
      </c>
      <c r="J29" s="6">
        <f>'Předpoklady Mochtín V'!H38</f>
        <v>62993.8</v>
      </c>
      <c r="K29" s="4">
        <f t="shared" si="5"/>
        <v>2.9714056603773584</v>
      </c>
    </row>
    <row r="30" spans="2:11" ht="15" customHeight="1" x14ac:dyDescent="0.3">
      <c r="B30" s="16" t="s">
        <v>36</v>
      </c>
      <c r="C30" s="3" t="s">
        <v>37</v>
      </c>
      <c r="D30" s="6">
        <v>0</v>
      </c>
      <c r="E30" s="4">
        <f t="shared" si="0"/>
        <v>0</v>
      </c>
      <c r="F30" s="6">
        <f>SUMIFS('skutečné náklady 25'!$J:$J,'skutečné náklady 25'!$F:$F,"Mochtín",'skutečné náklady 25'!$E:$E,"vodné",'skutečné náklady 25'!$L:$L,$B30)</f>
        <v>0</v>
      </c>
      <c r="G30" s="4">
        <f t="shared" si="1"/>
        <v>0</v>
      </c>
      <c r="H30" s="6">
        <f t="shared" si="4"/>
        <v>0</v>
      </c>
      <c r="I30" s="4">
        <f t="shared" si="2"/>
        <v>0</v>
      </c>
      <c r="J30" s="6">
        <v>0</v>
      </c>
      <c r="K30" s="4">
        <f t="shared" si="5"/>
        <v>0</v>
      </c>
    </row>
    <row r="31" spans="2:11" ht="15" customHeight="1" x14ac:dyDescent="0.3">
      <c r="B31" s="20" t="s">
        <v>38</v>
      </c>
      <c r="C31" s="21" t="s">
        <v>39</v>
      </c>
      <c r="D31" s="22">
        <v>0</v>
      </c>
      <c r="E31" s="23">
        <f t="shared" si="0"/>
        <v>0</v>
      </c>
      <c r="F31" s="22">
        <f>SUMIFS('skutečné náklady 25'!$J:$J,'skutečné náklady 25'!$F:$F,"Mochtín",'skutečné náklady 25'!$E:$E,"vodné",'skutečné náklady 25'!$L:$L,$B31)</f>
        <v>0</v>
      </c>
      <c r="G31" s="23">
        <f t="shared" si="1"/>
        <v>0</v>
      </c>
      <c r="H31" s="22">
        <f t="shared" si="4"/>
        <v>0</v>
      </c>
      <c r="I31" s="23">
        <f t="shared" si="2"/>
        <v>0</v>
      </c>
      <c r="J31" s="23">
        <v>0</v>
      </c>
      <c r="K31" s="23">
        <f t="shared" si="5"/>
        <v>0</v>
      </c>
    </row>
    <row r="32" spans="2:11" ht="15" customHeight="1" x14ac:dyDescent="0.3">
      <c r="B32" s="20" t="s">
        <v>40</v>
      </c>
      <c r="C32" s="21" t="s">
        <v>41</v>
      </c>
      <c r="D32" s="22">
        <v>0</v>
      </c>
      <c r="E32" s="23">
        <f t="shared" si="0"/>
        <v>0</v>
      </c>
      <c r="F32" s="22">
        <f>SUMIFS('skutečné náklady 25'!$J:$J,'skutečné náklady 25'!$F:$F,"Mochtín",'skutečné náklady 25'!$E:$E,"vodné",'skutečné náklady 25'!$L:$L,$B32)</f>
        <v>0</v>
      </c>
      <c r="G32" s="23">
        <f t="shared" si="1"/>
        <v>0</v>
      </c>
      <c r="H32" s="22">
        <f t="shared" si="4"/>
        <v>0</v>
      </c>
      <c r="I32" s="23">
        <f t="shared" si="2"/>
        <v>0</v>
      </c>
      <c r="J32" s="23">
        <v>0</v>
      </c>
      <c r="K32" s="23">
        <f t="shared" si="5"/>
        <v>0</v>
      </c>
    </row>
    <row r="33" spans="2:11" ht="15" customHeight="1" x14ac:dyDescent="0.3">
      <c r="B33" s="20" t="s">
        <v>42</v>
      </c>
      <c r="C33" s="21" t="s">
        <v>43</v>
      </c>
      <c r="D33" s="22">
        <v>0</v>
      </c>
      <c r="E33" s="23">
        <f t="shared" si="0"/>
        <v>0</v>
      </c>
      <c r="F33" s="22">
        <f>SUMIFS('skutečné náklady 25'!$J:$J,'skutečné náklady 25'!$F:$F,"Mochtín",'skutečné náklady 25'!$E:$E,"vodné",'skutečné náklady 25'!$L:$L,$B33)</f>
        <v>0</v>
      </c>
      <c r="G33" s="23">
        <f t="shared" si="1"/>
        <v>0</v>
      </c>
      <c r="H33" s="22">
        <f>SUMIFS('skutečné náklady 23'!$F:$F,'skutečné náklady 23'!$G:$G,"Mochtín",'skutečné náklady 23'!$H:$H,$B33)</f>
        <v>0</v>
      </c>
      <c r="I33" s="23">
        <f t="shared" si="2"/>
        <v>0</v>
      </c>
      <c r="J33" s="22">
        <v>0</v>
      </c>
      <c r="K33" s="23">
        <f>IFERROR(J33/$J$7,"n/a")</f>
        <v>0</v>
      </c>
    </row>
    <row r="34" spans="2:11" ht="15" customHeight="1" x14ac:dyDescent="0.3">
      <c r="B34" s="20" t="s">
        <v>44</v>
      </c>
      <c r="C34" s="21" t="s">
        <v>45</v>
      </c>
      <c r="D34" s="22">
        <v>0</v>
      </c>
      <c r="E34" s="23">
        <f t="shared" si="0"/>
        <v>0</v>
      </c>
      <c r="F34" s="22">
        <f>SUMIFS('skutečné náklady 25'!$J:$J,'skutečné náklady 25'!$F:$F,"Mochtín",'skutečné náklady 25'!$E:$E,"vodné",'skutečné náklady 25'!$L:$L,$B34)</f>
        <v>0</v>
      </c>
      <c r="G34" s="23">
        <f t="shared" si="1"/>
        <v>0</v>
      </c>
      <c r="H34" s="22">
        <f>SUMIFS('skutečné náklady 23'!$F:$F,'skutečné náklady 23'!$G:$G,"Mochtín",'skutečné náklady 23'!$H:$H,$B34)</f>
        <v>0</v>
      </c>
      <c r="I34" s="23">
        <f t="shared" si="2"/>
        <v>0</v>
      </c>
      <c r="J34" s="22">
        <v>0</v>
      </c>
      <c r="K34" s="23">
        <f t="shared" si="5"/>
        <v>0</v>
      </c>
    </row>
    <row r="35" spans="2:11" ht="15" customHeight="1" outlineLevel="1" x14ac:dyDescent="0.3">
      <c r="B35" s="16" t="s">
        <v>46</v>
      </c>
      <c r="C35" s="3" t="s">
        <v>47</v>
      </c>
      <c r="D35" s="6">
        <v>0</v>
      </c>
      <c r="E35" s="4">
        <f t="shared" si="0"/>
        <v>0</v>
      </c>
      <c r="F35" s="6">
        <f>SUMIFS('skutečné náklady 25'!$J:$J,'skutečné náklady 25'!$F:$F,"Mochtín",'skutečné náklady 25'!$E:$E,"vodné",'skutečné náklady 25'!$L:$L,$B35)</f>
        <v>0</v>
      </c>
      <c r="G35" s="4">
        <f t="shared" si="1"/>
        <v>0</v>
      </c>
      <c r="H35" s="6">
        <f>SUMIFS('skutečné náklady 23'!$F:$F,'skutečné náklady 23'!$G:$G,"Mochtín",'skutečné náklady 23'!$H:$H,$B35)</f>
        <v>0</v>
      </c>
      <c r="I35" s="4">
        <f t="shared" si="2"/>
        <v>0</v>
      </c>
      <c r="J35" s="6">
        <v>0</v>
      </c>
      <c r="K35" s="4">
        <f t="shared" si="5"/>
        <v>0</v>
      </c>
    </row>
    <row r="36" spans="2:11" ht="15" customHeight="1" x14ac:dyDescent="0.3">
      <c r="B36" s="24" t="s">
        <v>48</v>
      </c>
      <c r="C36" s="25" t="s">
        <v>49</v>
      </c>
      <c r="D36" s="26">
        <f>SUM(D12,D17,D20,D23,D28,D31:D33,D34)</f>
        <v>385384.58992631576</v>
      </c>
      <c r="E36" s="27">
        <f t="shared" si="0"/>
        <v>24.086536870394735</v>
      </c>
      <c r="F36" s="26">
        <f>SUM(F12,F17,F20,F23,F28,F31:F33,F34)</f>
        <v>539441.64</v>
      </c>
      <c r="G36" s="27">
        <f t="shared" si="1"/>
        <v>33.795324150702733</v>
      </c>
      <c r="H36" s="26">
        <f>SUM(H12,H17,H20,H23,H28,H31:H33,H34)</f>
        <v>719255.52</v>
      </c>
      <c r="I36" s="27">
        <f t="shared" si="2"/>
        <v>33.795324150702733</v>
      </c>
      <c r="J36" s="26">
        <f>SUM(J12,J17,J20,J23,J28,J31:J33,J34)</f>
        <v>457507.28561403509</v>
      </c>
      <c r="K36" s="27">
        <f t="shared" si="5"/>
        <v>21.580532340284673</v>
      </c>
    </row>
    <row r="37" spans="2:11" ht="15" customHeight="1" x14ac:dyDescent="0.3">
      <c r="D37" s="6"/>
      <c r="E37"/>
      <c r="G37"/>
      <c r="H37" s="6"/>
    </row>
    <row r="38" spans="2:11" ht="15" customHeight="1" x14ac:dyDescent="0.3">
      <c r="B38" s="28" t="s">
        <v>50</v>
      </c>
      <c r="C38" s="29" t="s">
        <v>51</v>
      </c>
      <c r="D38" s="30">
        <f>SUM(D39:D41,D42:D43,D44:D45,D46:D47)</f>
        <v>384000</v>
      </c>
      <c r="E38" s="31">
        <f t="shared" si="0"/>
        <v>24</v>
      </c>
      <c r="F38" s="30">
        <f>SUM(F39:F41,F42:F43,F44:F45,F46:F47)</f>
        <v>383088.48</v>
      </c>
      <c r="G38" s="31">
        <f t="shared" si="1"/>
        <v>24</v>
      </c>
      <c r="H38" s="30">
        <f>SUM(H39:H41,H42:H43,H44:H45,H46:H47)</f>
        <v>510784.64</v>
      </c>
      <c r="I38" s="31">
        <f t="shared" ref="G38:I47" si="6">IFERROR(H38/$H$7,"n/a")</f>
        <v>24</v>
      </c>
      <c r="J38" s="30">
        <f>SUM(J39:J41,J42:J43,J44:J45,J46:J47)</f>
        <v>508800</v>
      </c>
      <c r="K38" s="31">
        <f t="shared" ref="K38:K47" si="7">IFERROR(J38/$J$7,"n/a")</f>
        <v>24</v>
      </c>
    </row>
    <row r="39" spans="2:11" ht="15" customHeight="1" x14ac:dyDescent="0.3">
      <c r="B39" s="16" t="s">
        <v>52</v>
      </c>
      <c r="C39" s="3" t="s">
        <v>53</v>
      </c>
      <c r="D39" s="6">
        <v>384000</v>
      </c>
      <c r="E39" s="4">
        <f t="shared" si="0"/>
        <v>24</v>
      </c>
      <c r="F39" s="6">
        <v>383088.48</v>
      </c>
      <c r="G39" s="4">
        <v>24</v>
      </c>
      <c r="H39" s="6">
        <f>I39*H7</f>
        <v>510784.64</v>
      </c>
      <c r="I39" s="4">
        <v>24</v>
      </c>
      <c r="J39" s="6">
        <f>K39*J7</f>
        <v>508800</v>
      </c>
      <c r="K39" s="4">
        <v>24</v>
      </c>
    </row>
    <row r="40" spans="2:11" ht="15" customHeight="1" x14ac:dyDescent="0.3">
      <c r="B40" s="16" t="s">
        <v>54</v>
      </c>
      <c r="C40" s="3" t="s">
        <v>55</v>
      </c>
      <c r="D40" s="6">
        <v>0</v>
      </c>
      <c r="E40" s="4">
        <f t="shared" si="0"/>
        <v>0</v>
      </c>
      <c r="F40" s="6">
        <v>0</v>
      </c>
      <c r="G40" s="4">
        <f t="shared" si="6"/>
        <v>0</v>
      </c>
      <c r="H40" s="6">
        <v>0</v>
      </c>
      <c r="I40" s="4">
        <f t="shared" si="6"/>
        <v>0</v>
      </c>
      <c r="J40" s="6">
        <v>0</v>
      </c>
      <c r="K40" s="4">
        <v>0</v>
      </c>
    </row>
    <row r="41" spans="2:11" ht="15" customHeight="1" x14ac:dyDescent="0.3">
      <c r="B41" s="16" t="s">
        <v>56</v>
      </c>
      <c r="C41" s="3" t="s">
        <v>57</v>
      </c>
      <c r="D41" s="6">
        <v>0</v>
      </c>
      <c r="E41" s="4">
        <f t="shared" si="0"/>
        <v>0</v>
      </c>
      <c r="F41" s="6">
        <v>0</v>
      </c>
      <c r="G41" s="4">
        <f t="shared" si="6"/>
        <v>0</v>
      </c>
      <c r="H41" s="6">
        <v>0</v>
      </c>
      <c r="I41" s="4">
        <f t="shared" si="6"/>
        <v>0</v>
      </c>
      <c r="J41" s="4">
        <v>0</v>
      </c>
      <c r="K41" s="4">
        <f t="shared" si="7"/>
        <v>0</v>
      </c>
    </row>
    <row r="42" spans="2:11" ht="15" customHeight="1" x14ac:dyDescent="0.3">
      <c r="B42" s="16" t="s">
        <v>58</v>
      </c>
      <c r="C42" s="3" t="s">
        <v>59</v>
      </c>
      <c r="D42" s="6">
        <v>0</v>
      </c>
      <c r="E42" s="4">
        <f t="shared" si="0"/>
        <v>0</v>
      </c>
      <c r="F42" s="6">
        <v>0</v>
      </c>
      <c r="G42" s="4">
        <f t="shared" si="6"/>
        <v>0</v>
      </c>
      <c r="H42" s="6">
        <v>0</v>
      </c>
      <c r="I42" s="4">
        <f t="shared" si="6"/>
        <v>0</v>
      </c>
      <c r="J42" s="4">
        <v>0</v>
      </c>
      <c r="K42" s="4">
        <f t="shared" si="7"/>
        <v>0</v>
      </c>
    </row>
    <row r="43" spans="2:11" ht="15" customHeight="1" x14ac:dyDescent="0.3">
      <c r="B43" s="16" t="s">
        <v>60</v>
      </c>
      <c r="C43" s="3" t="s">
        <v>61</v>
      </c>
      <c r="D43" s="6">
        <v>0</v>
      </c>
      <c r="E43" s="4">
        <f t="shared" si="0"/>
        <v>0</v>
      </c>
      <c r="F43" s="6">
        <v>0</v>
      </c>
      <c r="G43" s="4">
        <f t="shared" si="6"/>
        <v>0</v>
      </c>
      <c r="H43" s="6">
        <v>0</v>
      </c>
      <c r="I43" s="4">
        <f t="shared" si="6"/>
        <v>0</v>
      </c>
      <c r="J43" s="4">
        <v>0</v>
      </c>
      <c r="K43" s="4">
        <f t="shared" si="7"/>
        <v>0</v>
      </c>
    </row>
    <row r="44" spans="2:11" ht="15" customHeight="1" x14ac:dyDescent="0.3">
      <c r="B44" s="16" t="s">
        <v>62</v>
      </c>
      <c r="C44" s="3" t="s">
        <v>63</v>
      </c>
      <c r="D44" s="6">
        <v>0</v>
      </c>
      <c r="E44" s="4">
        <f t="shared" si="0"/>
        <v>0</v>
      </c>
      <c r="F44" s="6">
        <v>0</v>
      </c>
      <c r="G44" s="4">
        <f t="shared" si="6"/>
        <v>0</v>
      </c>
      <c r="H44" s="6">
        <v>0</v>
      </c>
      <c r="I44" s="4">
        <f t="shared" si="6"/>
        <v>0</v>
      </c>
      <c r="J44" s="4">
        <v>0</v>
      </c>
      <c r="K44" s="4">
        <f t="shared" si="7"/>
        <v>0</v>
      </c>
    </row>
    <row r="45" spans="2:11" ht="15" customHeight="1" x14ac:dyDescent="0.3">
      <c r="B45" s="16" t="s">
        <v>64</v>
      </c>
      <c r="C45" s="3" t="s">
        <v>65</v>
      </c>
      <c r="D45" s="6">
        <v>0</v>
      </c>
      <c r="E45" s="4">
        <f t="shared" si="0"/>
        <v>0</v>
      </c>
      <c r="F45" s="6">
        <v>0</v>
      </c>
      <c r="G45" s="4">
        <f t="shared" si="6"/>
        <v>0</v>
      </c>
      <c r="H45" s="6">
        <v>0</v>
      </c>
      <c r="I45" s="4">
        <f t="shared" si="6"/>
        <v>0</v>
      </c>
      <c r="J45" s="4">
        <v>0</v>
      </c>
      <c r="K45" s="4">
        <f t="shared" si="7"/>
        <v>0</v>
      </c>
    </row>
    <row r="46" spans="2:11" ht="15" customHeight="1" x14ac:dyDescent="0.3">
      <c r="B46" s="16" t="s">
        <v>66</v>
      </c>
      <c r="C46" s="3" t="s">
        <v>67</v>
      </c>
      <c r="D46" s="6">
        <v>0</v>
      </c>
      <c r="E46" s="4">
        <f t="shared" si="0"/>
        <v>0</v>
      </c>
      <c r="F46" s="6">
        <v>0</v>
      </c>
      <c r="G46" s="4">
        <f t="shared" si="6"/>
        <v>0</v>
      </c>
      <c r="H46" s="6">
        <v>0</v>
      </c>
      <c r="I46" s="4">
        <f t="shared" si="6"/>
        <v>0</v>
      </c>
      <c r="J46" s="4">
        <v>0</v>
      </c>
      <c r="K46" s="4">
        <f t="shared" si="7"/>
        <v>0</v>
      </c>
    </row>
    <row r="47" spans="2:11" ht="15" customHeight="1" x14ac:dyDescent="0.3">
      <c r="B47" s="32" t="s">
        <v>68</v>
      </c>
      <c r="C47" s="33" t="s">
        <v>69</v>
      </c>
      <c r="D47" s="34">
        <v>0</v>
      </c>
      <c r="E47" s="35">
        <f t="shared" si="0"/>
        <v>0</v>
      </c>
      <c r="F47" s="34">
        <v>0</v>
      </c>
      <c r="G47" s="35">
        <f t="shared" si="6"/>
        <v>0</v>
      </c>
      <c r="H47" s="34">
        <v>0</v>
      </c>
      <c r="I47" s="35">
        <f t="shared" si="6"/>
        <v>0</v>
      </c>
      <c r="J47" s="35">
        <v>0</v>
      </c>
      <c r="K47" s="35">
        <f t="shared" si="7"/>
        <v>0</v>
      </c>
    </row>
    <row r="48" spans="2:11" ht="15" customHeight="1" x14ac:dyDescent="0.3">
      <c r="D48" s="6"/>
      <c r="E48"/>
      <c r="G48"/>
      <c r="H48" s="6"/>
    </row>
    <row r="49" spans="2:11" ht="15" customHeight="1" x14ac:dyDescent="0.3">
      <c r="B49" s="36" t="str">
        <f>"="</f>
        <v>=</v>
      </c>
      <c r="C49" s="37" t="s">
        <v>70</v>
      </c>
      <c r="D49" s="38">
        <f>D38-D36</f>
        <v>-1384.5899263157626</v>
      </c>
      <c r="E49" s="39">
        <f t="shared" si="0"/>
        <v>-8.6536870394735163E-2</v>
      </c>
      <c r="F49" s="38">
        <f>F38-F36</f>
        <v>-156353.16000000003</v>
      </c>
      <c r="G49" s="39" t="str">
        <f>IFERROR(F49/#REF!,"n/a")</f>
        <v>n/a</v>
      </c>
      <c r="H49" s="38">
        <f>H38-H36</f>
        <v>-208470.88</v>
      </c>
      <c r="I49" s="39" t="str">
        <f>IFERROR(H49/#REF!,"n/a")</f>
        <v>n/a</v>
      </c>
      <c r="J49" s="38">
        <f>J38-J36</f>
        <v>51292.714385964908</v>
      </c>
      <c r="K49" s="39">
        <f>IFERROR(J49/$J$7,"n/a")</f>
        <v>2.419467659715326</v>
      </c>
    </row>
    <row r="50" spans="2:11" ht="15" customHeight="1" x14ac:dyDescent="0.3">
      <c r="D50"/>
      <c r="E50"/>
    </row>
  </sheetData>
  <mergeCells count="4">
    <mergeCell ref="H10:I10"/>
    <mergeCell ref="J10:K10"/>
    <mergeCell ref="D10:E10"/>
    <mergeCell ref="F10:G10"/>
  </mergeCells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B968-1633-4A8E-B07E-7296AEA24E3B}">
  <dimension ref="A1:K10"/>
  <sheetViews>
    <sheetView showGridLines="0" zoomScaleNormal="100" zoomScaleSheetLayoutView="160" workbookViewId="0">
      <selection activeCell="G7" sqref="G7"/>
    </sheetView>
  </sheetViews>
  <sheetFormatPr defaultRowHeight="14.4" x14ac:dyDescent="0.3"/>
  <cols>
    <col min="2" max="2" width="46.6640625" bestFit="1" customWidth="1"/>
    <col min="3" max="3" width="8.6640625" style="7" customWidth="1"/>
    <col min="4" max="4" width="8.6640625" customWidth="1"/>
    <col min="5" max="5" width="8.6640625" style="7" customWidth="1"/>
    <col min="6" max="7" width="8.6640625" customWidth="1"/>
    <col min="8" max="8" width="9.88671875" bestFit="1" customWidth="1"/>
    <col min="9" max="9" width="1.44140625" customWidth="1"/>
  </cols>
  <sheetData>
    <row r="1" spans="1:11" ht="17.100000000000001" customHeight="1" x14ac:dyDescent="0.4">
      <c r="A1" s="3"/>
      <c r="B1" s="40" t="s">
        <v>128</v>
      </c>
    </row>
    <row r="2" spans="1:11" ht="15" customHeight="1" x14ac:dyDescent="0.3">
      <c r="A2" s="3"/>
    </row>
    <row r="3" spans="1:11" ht="17.100000000000001" customHeight="1" x14ac:dyDescent="0.3">
      <c r="A3" s="3"/>
      <c r="B3" s="9" t="s">
        <v>80</v>
      </c>
      <c r="C3" s="5"/>
      <c r="D3" s="3"/>
      <c r="E3" s="5"/>
      <c r="F3" s="8"/>
      <c r="G3" s="4"/>
      <c r="H3" s="4"/>
    </row>
    <row r="4" spans="1:11" ht="15" customHeight="1" x14ac:dyDescent="0.3">
      <c r="A4" s="3"/>
      <c r="B4" s="1"/>
      <c r="C4" s="2"/>
      <c r="D4" s="2"/>
      <c r="E4" s="2"/>
      <c r="F4" s="2" t="s">
        <v>71</v>
      </c>
      <c r="G4" s="2" t="s">
        <v>72</v>
      </c>
      <c r="H4" s="2" t="s">
        <v>2</v>
      </c>
    </row>
    <row r="5" spans="1:11" ht="15" customHeight="1" x14ac:dyDescent="0.3">
      <c r="A5" s="3"/>
      <c r="B5" s="3" t="s">
        <v>126</v>
      </c>
      <c r="C5" s="5"/>
      <c r="D5" s="3"/>
      <c r="E5" s="5" t="s">
        <v>74</v>
      </c>
      <c r="F5" s="41">
        <v>1.05</v>
      </c>
      <c r="G5" s="4">
        <v>12960</v>
      </c>
      <c r="H5" s="46">
        <f>G5*F5</f>
        <v>13608</v>
      </c>
    </row>
    <row r="6" spans="1:11" ht="15" customHeight="1" x14ac:dyDescent="0.3">
      <c r="A6" s="3"/>
      <c r="B6" s="3" t="s">
        <v>79</v>
      </c>
      <c r="C6" s="5"/>
      <c r="D6" s="3"/>
      <c r="E6" s="5"/>
      <c r="F6" s="41">
        <v>2</v>
      </c>
      <c r="G6" s="4">
        <v>1500</v>
      </c>
      <c r="H6" s="46">
        <f t="shared" ref="H6:H7" si="0">G6*F6</f>
        <v>3000</v>
      </c>
    </row>
    <row r="7" spans="1:11" ht="15" customHeight="1" x14ac:dyDescent="0.3">
      <c r="A7" s="3"/>
      <c r="B7" s="3" t="s">
        <v>284</v>
      </c>
      <c r="C7" s="5"/>
      <c r="D7" s="3"/>
      <c r="E7" s="5" t="s">
        <v>74</v>
      </c>
      <c r="F7" s="41">
        <v>1</v>
      </c>
      <c r="G7" s="4">
        <v>6752</v>
      </c>
      <c r="H7" s="46">
        <f t="shared" si="0"/>
        <v>6752</v>
      </c>
    </row>
    <row r="8" spans="1:11" ht="15" customHeight="1" x14ac:dyDescent="0.3">
      <c r="A8" s="3"/>
      <c r="B8" s="42" t="s">
        <v>73</v>
      </c>
      <c r="C8" s="43"/>
      <c r="D8" s="42"/>
      <c r="E8" s="43"/>
      <c r="F8" s="44"/>
      <c r="G8" s="45"/>
      <c r="H8" s="47">
        <f>SUM(H5:H7)</f>
        <v>23360</v>
      </c>
    </row>
    <row r="10" spans="1:11" x14ac:dyDescent="0.3">
      <c r="K10" s="66"/>
    </row>
  </sheetData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7DFC-2540-4C1D-A39D-46352F97EFC5}">
  <sheetPr>
    <tabColor rgb="FF00206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1A20F-A953-4A64-8A48-574730389814}">
  <sheetPr filterMode="1"/>
  <dimension ref="A1:M50"/>
  <sheetViews>
    <sheetView workbookViewId="0">
      <selection activeCell="D71" sqref="D71"/>
    </sheetView>
  </sheetViews>
  <sheetFormatPr defaultRowHeight="14.4" x14ac:dyDescent="0.3"/>
  <cols>
    <col min="1" max="1" width="11.21875" style="176" customWidth="1"/>
    <col min="2" max="2" width="11.88671875" style="176" customWidth="1"/>
    <col min="3" max="3" width="15.88671875" style="176" customWidth="1"/>
    <col min="4" max="4" width="27.109375" style="176" customWidth="1"/>
    <col min="5" max="5" width="10.33203125" style="183" customWidth="1"/>
    <col min="6" max="6" width="15.6640625" style="183" customWidth="1"/>
    <col min="7" max="7" width="5.77734375" style="176" customWidth="1"/>
    <col min="8" max="8" width="10.109375" style="176" customWidth="1"/>
    <col min="9" max="9" width="11.21875" style="176" customWidth="1"/>
    <col min="10" max="10" width="10.6640625" style="176" customWidth="1"/>
    <col min="11" max="11" width="9" style="176" customWidth="1"/>
    <col min="12" max="12" width="8.88671875" style="183"/>
    <col min="13" max="16384" width="8.88671875" style="176"/>
  </cols>
  <sheetData>
    <row r="1" spans="1:13" ht="15" thickBot="1" x14ac:dyDescent="0.35">
      <c r="A1" s="173" t="s">
        <v>196</v>
      </c>
      <c r="B1" s="173" t="s">
        <v>197</v>
      </c>
      <c r="C1" s="173" t="s">
        <v>198</v>
      </c>
      <c r="D1" s="174" t="s">
        <v>199</v>
      </c>
      <c r="E1" s="174" t="s">
        <v>200</v>
      </c>
      <c r="F1" s="174">
        <v>0</v>
      </c>
      <c r="G1" s="173" t="s">
        <v>201</v>
      </c>
      <c r="H1" s="173" t="s">
        <v>202</v>
      </c>
      <c r="I1" s="173" t="s">
        <v>203</v>
      </c>
      <c r="J1" s="173" t="s">
        <v>204</v>
      </c>
      <c r="K1" s="173" t="s">
        <v>205</v>
      </c>
      <c r="L1" s="175" t="s">
        <v>206</v>
      </c>
    </row>
    <row r="2" spans="1:13" hidden="1" x14ac:dyDescent="0.3">
      <c r="A2" s="177" t="s">
        <v>207</v>
      </c>
      <c r="B2" s="177" t="s">
        <v>207</v>
      </c>
      <c r="C2" s="177" t="s">
        <v>208</v>
      </c>
      <c r="D2" s="178" t="s">
        <v>209</v>
      </c>
      <c r="E2" s="179" t="s">
        <v>210</v>
      </c>
      <c r="F2" s="180" t="s">
        <v>91</v>
      </c>
      <c r="G2" s="177" t="s">
        <v>211</v>
      </c>
      <c r="H2" s="181">
        <v>45553</v>
      </c>
      <c r="I2" s="182">
        <v>6835.86</v>
      </c>
      <c r="J2" s="182">
        <v>5649.47</v>
      </c>
      <c r="K2" s="182">
        <v>1186.3900000000001</v>
      </c>
      <c r="L2" s="183" t="s">
        <v>8</v>
      </c>
      <c r="M2" s="176" t="s">
        <v>212</v>
      </c>
    </row>
    <row r="3" spans="1:13" hidden="1" x14ac:dyDescent="0.3">
      <c r="A3" s="177" t="s">
        <v>213</v>
      </c>
      <c r="B3" s="177" t="s">
        <v>213</v>
      </c>
      <c r="C3" s="177" t="s">
        <v>208</v>
      </c>
      <c r="D3" s="178" t="s">
        <v>209</v>
      </c>
      <c r="E3" s="179" t="s">
        <v>210</v>
      </c>
      <c r="F3" s="180" t="s">
        <v>91</v>
      </c>
      <c r="G3" s="177" t="s">
        <v>211</v>
      </c>
      <c r="H3" s="181">
        <v>45565</v>
      </c>
      <c r="I3" s="182">
        <v>1363.38</v>
      </c>
      <c r="J3" s="182">
        <v>1126.76</v>
      </c>
      <c r="K3" s="182">
        <v>236.62</v>
      </c>
      <c r="L3" s="183" t="s">
        <v>8</v>
      </c>
      <c r="M3" s="176" t="s">
        <v>214</v>
      </c>
    </row>
    <row r="4" spans="1:13" hidden="1" x14ac:dyDescent="0.3">
      <c r="A4" s="177" t="s">
        <v>215</v>
      </c>
      <c r="B4" s="177" t="s">
        <v>215</v>
      </c>
      <c r="C4" s="177" t="s">
        <v>208</v>
      </c>
      <c r="D4" s="178" t="s">
        <v>209</v>
      </c>
      <c r="E4" s="179" t="s">
        <v>210</v>
      </c>
      <c r="F4" s="180" t="s">
        <v>91</v>
      </c>
      <c r="G4" s="177" t="s">
        <v>216</v>
      </c>
      <c r="H4" s="181">
        <v>45572</v>
      </c>
      <c r="I4" s="182">
        <v>2726.75</v>
      </c>
      <c r="J4" s="182">
        <v>2253.5100000000002</v>
      </c>
      <c r="K4" s="182">
        <v>473.24</v>
      </c>
      <c r="L4" s="183" t="s">
        <v>8</v>
      </c>
      <c r="M4" s="176" t="s">
        <v>217</v>
      </c>
    </row>
    <row r="5" spans="1:13" hidden="1" x14ac:dyDescent="0.3">
      <c r="A5" s="177" t="s">
        <v>218</v>
      </c>
      <c r="B5" s="177" t="s">
        <v>218</v>
      </c>
      <c r="C5" s="177" t="s">
        <v>208</v>
      </c>
      <c r="D5" s="178" t="s">
        <v>219</v>
      </c>
      <c r="E5" s="179" t="s">
        <v>220</v>
      </c>
      <c r="F5" s="180" t="s">
        <v>91</v>
      </c>
      <c r="G5" s="177" t="s">
        <v>221</v>
      </c>
      <c r="H5" s="181">
        <v>45331</v>
      </c>
      <c r="I5" s="182">
        <v>8122.73</v>
      </c>
      <c r="J5" s="182">
        <v>6713</v>
      </c>
      <c r="K5" s="182">
        <v>1409.73</v>
      </c>
      <c r="L5" s="183" t="s">
        <v>34</v>
      </c>
      <c r="M5" s="176" t="s">
        <v>222</v>
      </c>
    </row>
    <row r="6" spans="1:13" hidden="1" x14ac:dyDescent="0.3">
      <c r="A6" s="177" t="s">
        <v>223</v>
      </c>
      <c r="B6" s="177" t="s">
        <v>223</v>
      </c>
      <c r="C6" s="177" t="s">
        <v>208</v>
      </c>
      <c r="D6" s="178" t="s">
        <v>224</v>
      </c>
      <c r="E6" s="179" t="s">
        <v>210</v>
      </c>
      <c r="F6" s="180" t="s">
        <v>91</v>
      </c>
      <c r="G6" s="177" t="s">
        <v>225</v>
      </c>
      <c r="H6" s="181">
        <v>45379</v>
      </c>
      <c r="I6" s="182">
        <v>63914.32</v>
      </c>
      <c r="J6" s="182">
        <v>63914.32</v>
      </c>
      <c r="K6" s="182">
        <v>0</v>
      </c>
      <c r="L6" s="183" t="s">
        <v>28</v>
      </c>
      <c r="M6" s="176" t="s">
        <v>226</v>
      </c>
    </row>
    <row r="7" spans="1:13" hidden="1" x14ac:dyDescent="0.3">
      <c r="A7" s="177" t="s">
        <v>227</v>
      </c>
      <c r="B7" s="177" t="s">
        <v>227</v>
      </c>
      <c r="C7" s="177" t="s">
        <v>208</v>
      </c>
      <c r="D7" s="178" t="s">
        <v>0</v>
      </c>
      <c r="E7" s="179" t="s">
        <v>210</v>
      </c>
      <c r="F7" s="180" t="s">
        <v>91</v>
      </c>
      <c r="G7" s="177" t="s">
        <v>228</v>
      </c>
      <c r="H7" s="181">
        <v>45385</v>
      </c>
      <c r="I7" s="182"/>
      <c r="J7" s="182">
        <v>6752</v>
      </c>
      <c r="K7" s="182"/>
      <c r="L7" s="183" t="s">
        <v>34</v>
      </c>
      <c r="M7" s="176" t="s">
        <v>229</v>
      </c>
    </row>
    <row r="8" spans="1:13" hidden="1" x14ac:dyDescent="0.3">
      <c r="A8" s="177" t="s">
        <v>227</v>
      </c>
      <c r="B8" s="177" t="s">
        <v>227</v>
      </c>
      <c r="C8" s="177" t="s">
        <v>208</v>
      </c>
      <c r="D8" s="178" t="s">
        <v>0</v>
      </c>
      <c r="E8" s="179" t="s">
        <v>210</v>
      </c>
      <c r="F8" s="180" t="s">
        <v>90</v>
      </c>
      <c r="G8" s="177"/>
      <c r="H8" s="181"/>
      <c r="I8" s="182"/>
      <c r="J8" s="182">
        <v>6752</v>
      </c>
      <c r="K8" s="182"/>
      <c r="L8" s="183" t="s">
        <v>34</v>
      </c>
    </row>
    <row r="9" spans="1:13" hidden="1" x14ac:dyDescent="0.3">
      <c r="A9" s="177" t="s">
        <v>227</v>
      </c>
      <c r="B9" s="177" t="s">
        <v>227</v>
      </c>
      <c r="C9" s="177" t="s">
        <v>208</v>
      </c>
      <c r="D9" s="178" t="s">
        <v>0</v>
      </c>
      <c r="E9" s="179" t="s">
        <v>210</v>
      </c>
      <c r="F9" s="180" t="s">
        <v>108</v>
      </c>
      <c r="G9" s="177"/>
      <c r="H9" s="181"/>
      <c r="I9" s="182"/>
      <c r="J9" s="182">
        <v>6752</v>
      </c>
      <c r="K9" s="182"/>
      <c r="L9" s="183" t="s">
        <v>34</v>
      </c>
    </row>
    <row r="10" spans="1:13" hidden="1" x14ac:dyDescent="0.3">
      <c r="A10" s="177" t="s">
        <v>227</v>
      </c>
      <c r="B10" s="177" t="s">
        <v>227</v>
      </c>
      <c r="C10" s="177" t="s">
        <v>208</v>
      </c>
      <c r="D10" s="178" t="s">
        <v>0</v>
      </c>
      <c r="E10" s="179" t="s">
        <v>220</v>
      </c>
      <c r="F10" s="180" t="s">
        <v>91</v>
      </c>
      <c r="G10" s="177"/>
      <c r="H10" s="181"/>
      <c r="I10" s="182"/>
      <c r="J10" s="182">
        <v>6752</v>
      </c>
      <c r="K10" s="182"/>
      <c r="L10" s="183" t="s">
        <v>34</v>
      </c>
    </row>
    <row r="11" spans="1:13" x14ac:dyDescent="0.3">
      <c r="A11" s="177" t="s">
        <v>227</v>
      </c>
      <c r="B11" s="177" t="s">
        <v>227</v>
      </c>
      <c r="C11" s="177" t="s">
        <v>208</v>
      </c>
      <c r="D11" s="178" t="s">
        <v>0</v>
      </c>
      <c r="E11" s="179" t="s">
        <v>220</v>
      </c>
      <c r="F11" s="180" t="s">
        <v>230</v>
      </c>
      <c r="G11" s="177"/>
      <c r="H11" s="181"/>
      <c r="I11" s="182"/>
      <c r="J11" s="182">
        <v>6752</v>
      </c>
      <c r="K11" s="182"/>
      <c r="L11" s="183" t="s">
        <v>34</v>
      </c>
    </row>
    <row r="12" spans="1:13" hidden="1" x14ac:dyDescent="0.3">
      <c r="A12" s="177" t="s">
        <v>231</v>
      </c>
      <c r="B12" s="177" t="s">
        <v>231</v>
      </c>
      <c r="C12" s="177" t="s">
        <v>208</v>
      </c>
      <c r="D12" s="178" t="s">
        <v>232</v>
      </c>
      <c r="E12" s="179" t="s">
        <v>210</v>
      </c>
      <c r="F12" s="180" t="s">
        <v>91</v>
      </c>
      <c r="G12" s="177" t="s">
        <v>233</v>
      </c>
      <c r="H12" s="181">
        <v>45492</v>
      </c>
      <c r="I12" s="182">
        <v>125350.85</v>
      </c>
      <c r="J12" s="182">
        <v>125350.85</v>
      </c>
      <c r="K12" s="182">
        <v>0</v>
      </c>
      <c r="L12" s="183" t="s">
        <v>28</v>
      </c>
      <c r="M12" s="176" t="s">
        <v>234</v>
      </c>
    </row>
    <row r="13" spans="1:13" hidden="1" x14ac:dyDescent="0.3">
      <c r="A13" s="177" t="s">
        <v>236</v>
      </c>
      <c r="B13" s="177" t="s">
        <v>236</v>
      </c>
      <c r="C13" s="177" t="s">
        <v>208</v>
      </c>
      <c r="D13" s="178" t="s">
        <v>219</v>
      </c>
      <c r="E13" s="179" t="s">
        <v>220</v>
      </c>
      <c r="F13" s="180" t="s">
        <v>91</v>
      </c>
      <c r="G13" s="177" t="s">
        <v>211</v>
      </c>
      <c r="H13" s="181">
        <v>45555</v>
      </c>
      <c r="I13" s="182">
        <v>8591</v>
      </c>
      <c r="J13" s="182">
        <v>7100</v>
      </c>
      <c r="K13" s="182">
        <v>1491</v>
      </c>
      <c r="L13" s="183" t="s">
        <v>34</v>
      </c>
      <c r="M13" s="176" t="s">
        <v>237</v>
      </c>
    </row>
    <row r="14" spans="1:13" hidden="1" x14ac:dyDescent="0.3">
      <c r="A14" s="177" t="s">
        <v>238</v>
      </c>
      <c r="B14" s="177" t="s">
        <v>238</v>
      </c>
      <c r="C14" s="177" t="s">
        <v>208</v>
      </c>
      <c r="D14" s="178" t="s">
        <v>239</v>
      </c>
      <c r="E14" s="179" t="s">
        <v>210</v>
      </c>
      <c r="F14" s="180" t="s">
        <v>108</v>
      </c>
      <c r="G14" s="177" t="s">
        <v>216</v>
      </c>
      <c r="H14" s="181">
        <v>45587</v>
      </c>
      <c r="I14" s="182">
        <v>2729.76</v>
      </c>
      <c r="J14" s="182">
        <v>2256</v>
      </c>
      <c r="K14" s="182">
        <v>473.76</v>
      </c>
      <c r="L14" s="183" t="s">
        <v>28</v>
      </c>
      <c r="M14" s="176" t="s">
        <v>240</v>
      </c>
    </row>
    <row r="15" spans="1:13" hidden="1" x14ac:dyDescent="0.3">
      <c r="A15" s="177" t="s">
        <v>241</v>
      </c>
      <c r="B15" s="177" t="s">
        <v>241</v>
      </c>
      <c r="C15" s="177" t="s">
        <v>208</v>
      </c>
      <c r="D15" s="178" t="s">
        <v>79</v>
      </c>
      <c r="E15" s="179" t="s">
        <v>210</v>
      </c>
      <c r="F15" s="180" t="s">
        <v>91</v>
      </c>
      <c r="G15" s="177"/>
      <c r="H15" s="181"/>
      <c r="I15" s="182"/>
      <c r="J15" s="182">
        <v>2900</v>
      </c>
      <c r="K15" s="182"/>
      <c r="L15" s="183" t="s">
        <v>34</v>
      </c>
    </row>
    <row r="16" spans="1:13" hidden="1" x14ac:dyDescent="0.3">
      <c r="A16" s="177" t="s">
        <v>241</v>
      </c>
      <c r="B16" s="177" t="s">
        <v>241</v>
      </c>
      <c r="C16" s="177" t="s">
        <v>208</v>
      </c>
      <c r="D16" s="178" t="s">
        <v>79</v>
      </c>
      <c r="E16" s="179" t="s">
        <v>210</v>
      </c>
      <c r="F16" s="180" t="s">
        <v>90</v>
      </c>
      <c r="G16" s="177"/>
      <c r="H16" s="181"/>
      <c r="I16" s="182"/>
      <c r="J16" s="182">
        <v>0</v>
      </c>
      <c r="K16" s="182"/>
      <c r="L16" s="183" t="s">
        <v>34</v>
      </c>
    </row>
    <row r="17" spans="1:13" hidden="1" x14ac:dyDescent="0.3">
      <c r="A17" s="177" t="s">
        <v>241</v>
      </c>
      <c r="B17" s="177" t="s">
        <v>241</v>
      </c>
      <c r="C17" s="177" t="s">
        <v>208</v>
      </c>
      <c r="D17" s="178" t="s">
        <v>79</v>
      </c>
      <c r="E17" s="179" t="s">
        <v>210</v>
      </c>
      <c r="F17" s="180" t="s">
        <v>108</v>
      </c>
      <c r="G17" s="177"/>
      <c r="H17" s="181"/>
      <c r="I17" s="182"/>
      <c r="J17" s="182">
        <v>2900</v>
      </c>
      <c r="K17" s="182"/>
      <c r="L17" s="183" t="s">
        <v>34</v>
      </c>
    </row>
    <row r="18" spans="1:13" hidden="1" x14ac:dyDescent="0.3">
      <c r="A18" s="177" t="s">
        <v>241</v>
      </c>
      <c r="B18" s="177" t="s">
        <v>241</v>
      </c>
      <c r="C18" s="177" t="s">
        <v>208</v>
      </c>
      <c r="D18" s="178" t="s">
        <v>79</v>
      </c>
      <c r="E18" s="179" t="s">
        <v>220</v>
      </c>
      <c r="F18" s="180" t="s">
        <v>91</v>
      </c>
      <c r="G18" s="177"/>
      <c r="H18" s="181"/>
      <c r="I18" s="182"/>
      <c r="J18" s="182">
        <v>1500</v>
      </c>
      <c r="K18" s="182"/>
      <c r="L18" s="183" t="s">
        <v>34</v>
      </c>
    </row>
    <row r="19" spans="1:13" x14ac:dyDescent="0.3">
      <c r="A19" s="177" t="s">
        <v>241</v>
      </c>
      <c r="B19" s="177" t="s">
        <v>241</v>
      </c>
      <c r="C19" s="177" t="s">
        <v>208</v>
      </c>
      <c r="D19" s="178" t="s">
        <v>79</v>
      </c>
      <c r="E19" s="179" t="s">
        <v>220</v>
      </c>
      <c r="F19" s="180" t="s">
        <v>230</v>
      </c>
      <c r="G19" s="177"/>
      <c r="H19" s="181"/>
      <c r="I19" s="182"/>
      <c r="J19" s="182">
        <v>1500</v>
      </c>
      <c r="K19" s="182"/>
      <c r="L19" s="183" t="s">
        <v>34</v>
      </c>
    </row>
    <row r="20" spans="1:13" x14ac:dyDescent="0.3">
      <c r="A20" s="177" t="s">
        <v>242</v>
      </c>
      <c r="B20" s="177" t="s">
        <v>242</v>
      </c>
      <c r="C20" s="177" t="s">
        <v>208</v>
      </c>
      <c r="D20" s="178" t="s">
        <v>243</v>
      </c>
      <c r="E20" s="179" t="s">
        <v>220</v>
      </c>
      <c r="F20" s="180" t="s">
        <v>230</v>
      </c>
      <c r="G20" s="177" t="s">
        <v>225</v>
      </c>
      <c r="H20" s="181">
        <v>45356</v>
      </c>
      <c r="I20" s="182">
        <v>5777.75</v>
      </c>
      <c r="J20" s="182">
        <v>4775</v>
      </c>
      <c r="K20" s="182">
        <v>1002.75</v>
      </c>
      <c r="L20" s="183" t="s">
        <v>34</v>
      </c>
      <c r="M20" s="176" t="s">
        <v>244</v>
      </c>
    </row>
    <row r="21" spans="1:13" hidden="1" x14ac:dyDescent="0.3">
      <c r="A21" s="177" t="s">
        <v>245</v>
      </c>
      <c r="B21" s="177" t="s">
        <v>245</v>
      </c>
      <c r="C21" s="177" t="s">
        <v>208</v>
      </c>
      <c r="D21" s="178" t="s">
        <v>243</v>
      </c>
      <c r="E21" s="179" t="s">
        <v>220</v>
      </c>
      <c r="F21" s="180" t="s">
        <v>91</v>
      </c>
      <c r="G21" s="177" t="s">
        <v>225</v>
      </c>
      <c r="H21" s="181">
        <v>45377</v>
      </c>
      <c r="I21" s="182">
        <v>5777.75</v>
      </c>
      <c r="J21" s="182">
        <v>4775</v>
      </c>
      <c r="K21" s="182">
        <v>1002.75</v>
      </c>
      <c r="L21" s="183" t="s">
        <v>34</v>
      </c>
      <c r="M21" s="176" t="s">
        <v>246</v>
      </c>
    </row>
    <row r="22" spans="1:13" x14ac:dyDescent="0.3">
      <c r="A22" s="177" t="s">
        <v>247</v>
      </c>
      <c r="B22" s="177" t="s">
        <v>247</v>
      </c>
      <c r="C22" s="177" t="s">
        <v>208</v>
      </c>
      <c r="D22" s="178" t="s">
        <v>243</v>
      </c>
      <c r="E22" s="179" t="s">
        <v>220</v>
      </c>
      <c r="F22" s="180" t="s">
        <v>230</v>
      </c>
      <c r="G22" s="177" t="s">
        <v>248</v>
      </c>
      <c r="H22" s="181">
        <v>45415</v>
      </c>
      <c r="I22" s="182">
        <v>825.22</v>
      </c>
      <c r="J22" s="182">
        <v>682</v>
      </c>
      <c r="K22" s="182">
        <v>143.22</v>
      </c>
      <c r="L22" s="183" t="s">
        <v>34</v>
      </c>
      <c r="M22" s="176" t="s">
        <v>249</v>
      </c>
    </row>
    <row r="23" spans="1:13" hidden="1" x14ac:dyDescent="0.3">
      <c r="A23" s="177" t="s">
        <v>250</v>
      </c>
      <c r="B23" s="177" t="s">
        <v>250</v>
      </c>
      <c r="C23" s="177" t="s">
        <v>208</v>
      </c>
      <c r="D23" s="178" t="s">
        <v>243</v>
      </c>
      <c r="E23" s="179" t="s">
        <v>210</v>
      </c>
      <c r="F23" s="180" t="s">
        <v>91</v>
      </c>
      <c r="G23" s="177" t="s">
        <v>248</v>
      </c>
      <c r="H23" s="181">
        <v>45414</v>
      </c>
      <c r="I23" s="182">
        <v>13031.7</v>
      </c>
      <c r="J23" s="182">
        <f>10770/3</f>
        <v>3590</v>
      </c>
      <c r="K23" s="182">
        <v>2261.6999999999998</v>
      </c>
      <c r="L23" s="183" t="s">
        <v>34</v>
      </c>
      <c r="M23" s="176" t="s">
        <v>251</v>
      </c>
    </row>
    <row r="24" spans="1:13" hidden="1" x14ac:dyDescent="0.3">
      <c r="A24" s="177" t="s">
        <v>250</v>
      </c>
      <c r="B24" s="177" t="s">
        <v>250</v>
      </c>
      <c r="C24" s="177" t="s">
        <v>208</v>
      </c>
      <c r="D24" s="178" t="s">
        <v>243</v>
      </c>
      <c r="E24" s="179" t="s">
        <v>210</v>
      </c>
      <c r="F24" s="180" t="s">
        <v>90</v>
      </c>
      <c r="G24" s="177"/>
      <c r="H24" s="181"/>
      <c r="I24" s="182"/>
      <c r="J24" s="182">
        <f t="shared" ref="J24:J25" si="0">10770/3</f>
        <v>3590</v>
      </c>
      <c r="K24" s="182"/>
      <c r="L24" s="183" t="s">
        <v>34</v>
      </c>
    </row>
    <row r="25" spans="1:13" hidden="1" x14ac:dyDescent="0.3">
      <c r="A25" s="177" t="s">
        <v>250</v>
      </c>
      <c r="B25" s="177" t="s">
        <v>250</v>
      </c>
      <c r="C25" s="177" t="s">
        <v>208</v>
      </c>
      <c r="D25" s="178" t="s">
        <v>243</v>
      </c>
      <c r="E25" s="179" t="s">
        <v>210</v>
      </c>
      <c r="F25" s="180" t="s">
        <v>108</v>
      </c>
      <c r="G25" s="177"/>
      <c r="H25" s="181"/>
      <c r="I25" s="182"/>
      <c r="J25" s="182">
        <f t="shared" si="0"/>
        <v>3590</v>
      </c>
      <c r="K25" s="182"/>
      <c r="L25" s="183" t="s">
        <v>34</v>
      </c>
    </row>
    <row r="26" spans="1:13" hidden="1" x14ac:dyDescent="0.3">
      <c r="A26" s="177" t="s">
        <v>252</v>
      </c>
      <c r="B26" s="177" t="s">
        <v>252</v>
      </c>
      <c r="C26" s="177" t="s">
        <v>208</v>
      </c>
      <c r="D26" s="178" t="s">
        <v>243</v>
      </c>
      <c r="E26" s="179" t="s">
        <v>210</v>
      </c>
      <c r="F26" s="180" t="s">
        <v>108</v>
      </c>
      <c r="G26" s="177" t="s">
        <v>248</v>
      </c>
      <c r="H26" s="181">
        <v>45419</v>
      </c>
      <c r="I26" s="182">
        <v>886.45</v>
      </c>
      <c r="J26" s="182">
        <v>732.6</v>
      </c>
      <c r="K26" s="182">
        <v>153.85</v>
      </c>
      <c r="L26" s="183" t="s">
        <v>34</v>
      </c>
      <c r="M26" s="176" t="s">
        <v>253</v>
      </c>
    </row>
    <row r="27" spans="1:13" hidden="1" x14ac:dyDescent="0.3">
      <c r="A27" s="177" t="s">
        <v>254</v>
      </c>
      <c r="B27" s="177" t="s">
        <v>254</v>
      </c>
      <c r="C27" s="177" t="s">
        <v>208</v>
      </c>
      <c r="D27" s="178" t="s">
        <v>243</v>
      </c>
      <c r="E27" s="179" t="s">
        <v>220</v>
      </c>
      <c r="F27" s="180" t="s">
        <v>91</v>
      </c>
      <c r="G27" s="177" t="s">
        <v>248</v>
      </c>
      <c r="H27" s="181">
        <v>45441</v>
      </c>
      <c r="I27" s="182">
        <v>4127.3100000000004</v>
      </c>
      <c r="J27" s="182">
        <v>3411</v>
      </c>
      <c r="K27" s="182">
        <v>716.31</v>
      </c>
      <c r="L27" s="183" t="s">
        <v>34</v>
      </c>
      <c r="M27" s="176" t="s">
        <v>255</v>
      </c>
    </row>
    <row r="28" spans="1:13" x14ac:dyDescent="0.3">
      <c r="A28" s="177" t="s">
        <v>256</v>
      </c>
      <c r="B28" s="177" t="s">
        <v>256</v>
      </c>
      <c r="C28" s="177" t="s">
        <v>208</v>
      </c>
      <c r="D28" s="178" t="s">
        <v>243</v>
      </c>
      <c r="E28" s="179" t="s">
        <v>220</v>
      </c>
      <c r="F28" s="180" t="s">
        <v>230</v>
      </c>
      <c r="G28" s="177" t="s">
        <v>257</v>
      </c>
      <c r="H28" s="181">
        <v>45448</v>
      </c>
      <c r="I28" s="182">
        <v>3301.85</v>
      </c>
      <c r="J28" s="182">
        <v>2728.8</v>
      </c>
      <c r="K28" s="182">
        <v>573.04999999999995</v>
      </c>
      <c r="L28" s="183" t="s">
        <v>34</v>
      </c>
      <c r="M28" s="176" t="s">
        <v>258</v>
      </c>
    </row>
    <row r="29" spans="1:13" hidden="1" x14ac:dyDescent="0.3">
      <c r="A29" s="177" t="s">
        <v>259</v>
      </c>
      <c r="B29" s="177" t="s">
        <v>259</v>
      </c>
      <c r="C29" s="177" t="s">
        <v>208</v>
      </c>
      <c r="D29" s="178" t="s">
        <v>243</v>
      </c>
      <c r="E29" s="179" t="s">
        <v>220</v>
      </c>
      <c r="F29" s="180" t="s">
        <v>91</v>
      </c>
      <c r="G29" s="177" t="s">
        <v>233</v>
      </c>
      <c r="H29" s="181">
        <v>45483</v>
      </c>
      <c r="I29" s="182">
        <v>4127.3100000000004</v>
      </c>
      <c r="J29" s="182">
        <v>3411</v>
      </c>
      <c r="K29" s="182">
        <v>716.31</v>
      </c>
      <c r="L29" s="183" t="s">
        <v>34</v>
      </c>
      <c r="M29" s="176" t="s">
        <v>260</v>
      </c>
    </row>
    <row r="30" spans="1:13" hidden="1" x14ac:dyDescent="0.3">
      <c r="A30" s="177" t="s">
        <v>261</v>
      </c>
      <c r="B30" s="177" t="s">
        <v>261</v>
      </c>
      <c r="C30" s="177" t="s">
        <v>208</v>
      </c>
      <c r="D30" s="178" t="s">
        <v>243</v>
      </c>
      <c r="E30" s="179" t="s">
        <v>210</v>
      </c>
      <c r="F30" s="180" t="s">
        <v>91</v>
      </c>
      <c r="G30" s="177" t="s">
        <v>235</v>
      </c>
      <c r="H30" s="181">
        <v>45511</v>
      </c>
      <c r="I30" s="182">
        <v>20631.71</v>
      </c>
      <c r="J30" s="182">
        <v>17051</v>
      </c>
      <c r="K30" s="182">
        <v>3580.71</v>
      </c>
      <c r="L30" s="183" t="s">
        <v>34</v>
      </c>
      <c r="M30" s="176" t="s">
        <v>262</v>
      </c>
    </row>
    <row r="31" spans="1:13" x14ac:dyDescent="0.3">
      <c r="A31" s="177" t="s">
        <v>263</v>
      </c>
      <c r="B31" s="177" t="s">
        <v>263</v>
      </c>
      <c r="C31" s="177" t="s">
        <v>208</v>
      </c>
      <c r="D31" s="178" t="s">
        <v>243</v>
      </c>
      <c r="E31" s="179" t="s">
        <v>220</v>
      </c>
      <c r="F31" s="180" t="s">
        <v>230</v>
      </c>
      <c r="G31" s="177" t="s">
        <v>211</v>
      </c>
      <c r="H31" s="181">
        <v>45554</v>
      </c>
      <c r="I31" s="182">
        <v>5777.75</v>
      </c>
      <c r="J31" s="182">
        <v>4775</v>
      </c>
      <c r="K31" s="182">
        <v>1002.75</v>
      </c>
      <c r="L31" s="183" t="s">
        <v>34</v>
      </c>
      <c r="M31" s="176" t="s">
        <v>264</v>
      </c>
    </row>
    <row r="32" spans="1:13" hidden="1" x14ac:dyDescent="0.3">
      <c r="A32" s="177" t="s">
        <v>265</v>
      </c>
      <c r="B32" s="177" t="s">
        <v>265</v>
      </c>
      <c r="C32" s="177" t="s">
        <v>208</v>
      </c>
      <c r="D32" s="178" t="s">
        <v>243</v>
      </c>
      <c r="E32" s="179" t="s">
        <v>210</v>
      </c>
      <c r="F32" s="180" t="s">
        <v>90</v>
      </c>
      <c r="G32" s="177" t="s">
        <v>211</v>
      </c>
      <c r="H32" s="181">
        <v>45555</v>
      </c>
      <c r="I32" s="182">
        <v>40218.949999999997</v>
      </c>
      <c r="J32" s="182">
        <f>33238.8/2</f>
        <v>16619.400000000001</v>
      </c>
      <c r="K32" s="182">
        <v>6980.15</v>
      </c>
      <c r="L32" s="183" t="s">
        <v>34</v>
      </c>
      <c r="M32" s="176" t="s">
        <v>266</v>
      </c>
    </row>
    <row r="33" spans="1:13" hidden="1" x14ac:dyDescent="0.3">
      <c r="A33" s="177" t="s">
        <v>265</v>
      </c>
      <c r="B33" s="177" t="s">
        <v>265</v>
      </c>
      <c r="C33" s="177" t="s">
        <v>208</v>
      </c>
      <c r="D33" s="178" t="s">
        <v>243</v>
      </c>
      <c r="E33" s="179" t="s">
        <v>210</v>
      </c>
      <c r="F33" s="180" t="s">
        <v>108</v>
      </c>
      <c r="G33" s="177"/>
      <c r="H33" s="181"/>
      <c r="I33" s="182"/>
      <c r="J33" s="182">
        <f>33238.8/2</f>
        <v>16619.400000000001</v>
      </c>
      <c r="K33" s="182"/>
      <c r="L33" s="183" t="s">
        <v>34</v>
      </c>
    </row>
    <row r="34" spans="1:13" hidden="1" x14ac:dyDescent="0.3">
      <c r="A34" s="177" t="s">
        <v>267</v>
      </c>
      <c r="B34" s="177" t="s">
        <v>267</v>
      </c>
      <c r="C34" s="177" t="s">
        <v>208</v>
      </c>
      <c r="D34" s="178" t="s">
        <v>243</v>
      </c>
      <c r="E34" s="179" t="s">
        <v>210</v>
      </c>
      <c r="F34" s="180" t="s">
        <v>108</v>
      </c>
      <c r="G34" s="177" t="s">
        <v>211</v>
      </c>
      <c r="H34" s="181">
        <v>45562</v>
      </c>
      <c r="I34" s="182">
        <v>1918.82</v>
      </c>
      <c r="J34" s="182">
        <v>1585.8</v>
      </c>
      <c r="K34" s="182">
        <v>333.02</v>
      </c>
      <c r="L34" s="183" t="s">
        <v>34</v>
      </c>
      <c r="M34" s="176" t="s">
        <v>268</v>
      </c>
    </row>
    <row r="35" spans="1:13" hidden="1" x14ac:dyDescent="0.3">
      <c r="A35" s="177" t="s">
        <v>269</v>
      </c>
      <c r="B35" s="177" t="s">
        <v>269</v>
      </c>
      <c r="C35" s="177" t="s">
        <v>208</v>
      </c>
      <c r="D35" s="178" t="s">
        <v>243</v>
      </c>
      <c r="E35" s="179" t="s">
        <v>210</v>
      </c>
      <c r="F35" s="180" t="s">
        <v>91</v>
      </c>
      <c r="G35" s="177" t="s">
        <v>216</v>
      </c>
      <c r="H35" s="181">
        <v>45572</v>
      </c>
      <c r="I35" s="182">
        <v>3328.71</v>
      </c>
      <c r="J35" s="182">
        <v>1375.5</v>
      </c>
      <c r="K35" s="182">
        <v>577.71</v>
      </c>
      <c r="L35" s="183" t="s">
        <v>34</v>
      </c>
      <c r="M35" s="176" t="s">
        <v>270</v>
      </c>
    </row>
    <row r="36" spans="1:13" hidden="1" x14ac:dyDescent="0.3">
      <c r="A36" s="177" t="s">
        <v>269</v>
      </c>
      <c r="B36" s="177" t="s">
        <v>269</v>
      </c>
      <c r="C36" s="177" t="s">
        <v>208</v>
      </c>
      <c r="D36" s="178" t="s">
        <v>243</v>
      </c>
      <c r="E36" s="179" t="s">
        <v>210</v>
      </c>
      <c r="F36" s="180" t="s">
        <v>108</v>
      </c>
      <c r="G36" s="177"/>
      <c r="H36" s="181"/>
      <c r="I36" s="182"/>
      <c r="J36" s="182">
        <v>1375.5</v>
      </c>
      <c r="K36" s="182"/>
      <c r="L36" s="183" t="s">
        <v>34</v>
      </c>
    </row>
    <row r="37" spans="1:13" hidden="1" x14ac:dyDescent="0.3">
      <c r="A37" s="177" t="s">
        <v>271</v>
      </c>
      <c r="B37" s="177" t="s">
        <v>271</v>
      </c>
      <c r="C37" s="177" t="s">
        <v>208</v>
      </c>
      <c r="D37" s="178" t="s">
        <v>243</v>
      </c>
      <c r="E37" s="179" t="s">
        <v>210</v>
      </c>
      <c r="F37" s="180" t="s">
        <v>91</v>
      </c>
      <c r="G37" s="177" t="s">
        <v>216</v>
      </c>
      <c r="H37" s="181">
        <v>45588</v>
      </c>
      <c r="I37" s="182">
        <v>16318.67</v>
      </c>
      <c r="J37" s="182">
        <v>13486.5</v>
      </c>
      <c r="K37" s="182">
        <v>2832.17</v>
      </c>
      <c r="L37" s="183" t="s">
        <v>34</v>
      </c>
      <c r="M37" s="176" t="s">
        <v>272</v>
      </c>
    </row>
    <row r="38" spans="1:13" hidden="1" x14ac:dyDescent="0.3">
      <c r="D38" s="178" t="s">
        <v>82</v>
      </c>
      <c r="E38" s="179" t="s">
        <v>210</v>
      </c>
      <c r="F38" s="180" t="s">
        <v>108</v>
      </c>
      <c r="J38" s="182">
        <v>412.5</v>
      </c>
      <c r="L38" s="183" t="s">
        <v>6</v>
      </c>
    </row>
    <row r="39" spans="1:13" hidden="1" x14ac:dyDescent="0.3">
      <c r="D39" s="178" t="s">
        <v>273</v>
      </c>
      <c r="E39" s="179" t="s">
        <v>210</v>
      </c>
      <c r="F39" s="180" t="s">
        <v>108</v>
      </c>
      <c r="J39" s="182">
        <v>5400</v>
      </c>
      <c r="L39" s="183" t="s">
        <v>20</v>
      </c>
    </row>
    <row r="40" spans="1:13" hidden="1" x14ac:dyDescent="0.3">
      <c r="D40" s="178" t="s">
        <v>107</v>
      </c>
      <c r="E40" s="179" t="s">
        <v>210</v>
      </c>
      <c r="F40" s="180" t="s">
        <v>108</v>
      </c>
      <c r="J40" s="182">
        <v>5958</v>
      </c>
      <c r="L40" s="183" t="s">
        <v>24</v>
      </c>
    </row>
    <row r="41" spans="1:13" hidden="1" x14ac:dyDescent="0.3">
      <c r="D41" s="178" t="s">
        <v>82</v>
      </c>
      <c r="E41" s="179" t="s">
        <v>210</v>
      </c>
      <c r="F41" s="180" t="s">
        <v>90</v>
      </c>
      <c r="J41" s="182">
        <v>412.5</v>
      </c>
      <c r="L41" s="183" t="s">
        <v>6</v>
      </c>
    </row>
    <row r="42" spans="1:13" hidden="1" x14ac:dyDescent="0.3">
      <c r="D42" s="178" t="s">
        <v>273</v>
      </c>
      <c r="E42" s="179" t="s">
        <v>210</v>
      </c>
      <c r="F42" s="180" t="s">
        <v>90</v>
      </c>
      <c r="J42" s="182">
        <v>3600</v>
      </c>
      <c r="L42" s="183" t="s">
        <v>20</v>
      </c>
    </row>
    <row r="43" spans="1:13" hidden="1" x14ac:dyDescent="0.3">
      <c r="D43" s="178" t="s">
        <v>107</v>
      </c>
      <c r="E43" s="179" t="s">
        <v>210</v>
      </c>
      <c r="F43" s="180" t="s">
        <v>90</v>
      </c>
      <c r="J43" s="182">
        <v>8469</v>
      </c>
      <c r="L43" s="183" t="s">
        <v>24</v>
      </c>
    </row>
    <row r="44" spans="1:13" hidden="1" x14ac:dyDescent="0.3">
      <c r="A44" s="177"/>
      <c r="B44" s="177"/>
      <c r="C44" s="177"/>
      <c r="D44" s="178" t="s">
        <v>82</v>
      </c>
      <c r="E44" s="179" t="s">
        <v>210</v>
      </c>
      <c r="F44" s="180" t="s">
        <v>91</v>
      </c>
      <c r="G44" s="177"/>
      <c r="H44" s="181"/>
      <c r="I44" s="182"/>
      <c r="J44" s="182">
        <v>412.5</v>
      </c>
      <c r="K44" s="182"/>
      <c r="L44" s="183" t="s">
        <v>6</v>
      </c>
    </row>
    <row r="45" spans="1:13" hidden="1" x14ac:dyDescent="0.3">
      <c r="A45" s="177"/>
      <c r="B45" s="177"/>
      <c r="C45" s="177"/>
      <c r="D45" s="178" t="s">
        <v>273</v>
      </c>
      <c r="E45" s="179" t="s">
        <v>210</v>
      </c>
      <c r="F45" s="180" t="s">
        <v>91</v>
      </c>
      <c r="G45" s="177"/>
      <c r="H45" s="181"/>
      <c r="I45" s="182"/>
      <c r="J45" s="182">
        <v>7200</v>
      </c>
      <c r="K45" s="182"/>
      <c r="L45" s="183" t="s">
        <v>20</v>
      </c>
    </row>
    <row r="46" spans="1:13" hidden="1" x14ac:dyDescent="0.3">
      <c r="A46" s="177"/>
      <c r="B46" s="177"/>
      <c r="C46" s="177"/>
      <c r="D46" s="178" t="s">
        <v>107</v>
      </c>
      <c r="E46" s="179" t="s">
        <v>210</v>
      </c>
      <c r="F46" s="180" t="s">
        <v>91</v>
      </c>
      <c r="G46" s="177"/>
      <c r="H46" s="181"/>
      <c r="I46" s="182"/>
      <c r="J46" s="182">
        <v>81455</v>
      </c>
      <c r="K46" s="182"/>
      <c r="L46" s="183" t="s">
        <v>24</v>
      </c>
    </row>
    <row r="47" spans="1:13" hidden="1" x14ac:dyDescent="0.3">
      <c r="A47" s="177"/>
      <c r="B47" s="177"/>
      <c r="C47" s="177"/>
      <c r="D47" s="178" t="s">
        <v>274</v>
      </c>
      <c r="E47" s="179" t="s">
        <v>210</v>
      </c>
      <c r="F47" s="180" t="s">
        <v>91</v>
      </c>
      <c r="G47" s="177"/>
      <c r="H47" s="181"/>
      <c r="I47" s="182"/>
      <c r="J47" s="182">
        <v>108000</v>
      </c>
      <c r="K47" s="182"/>
      <c r="L47" s="183" t="s">
        <v>28</v>
      </c>
    </row>
    <row r="48" spans="1:13" hidden="1" x14ac:dyDescent="0.3">
      <c r="A48" s="177"/>
      <c r="B48" s="177"/>
      <c r="C48" s="177"/>
      <c r="D48" s="178" t="s">
        <v>275</v>
      </c>
      <c r="E48" s="179" t="s">
        <v>210</v>
      </c>
      <c r="F48" s="180" t="s">
        <v>91</v>
      </c>
      <c r="G48" s="177"/>
      <c r="H48" s="181"/>
      <c r="I48" s="182"/>
      <c r="J48" s="182">
        <v>14680.8</v>
      </c>
      <c r="K48" s="182"/>
      <c r="L48" s="183" t="s">
        <v>28</v>
      </c>
    </row>
    <row r="49" spans="1:12" hidden="1" x14ac:dyDescent="0.3">
      <c r="A49" s="177"/>
      <c r="B49" s="177"/>
      <c r="C49" s="177"/>
      <c r="D49" s="178" t="s">
        <v>276</v>
      </c>
      <c r="E49" s="179" t="s">
        <v>210</v>
      </c>
      <c r="F49" s="180" t="s">
        <v>91</v>
      </c>
      <c r="G49" s="177"/>
      <c r="H49" s="181"/>
      <c r="I49" s="182"/>
      <c r="J49" s="182">
        <v>2437</v>
      </c>
      <c r="K49" s="182"/>
      <c r="L49" s="183" t="s">
        <v>8</v>
      </c>
    </row>
    <row r="50" spans="1:12" hidden="1" x14ac:dyDescent="0.3">
      <c r="D50" s="176" t="s">
        <v>277</v>
      </c>
      <c r="E50" s="179" t="s">
        <v>210</v>
      </c>
      <c r="F50" s="180" t="s">
        <v>91</v>
      </c>
      <c r="J50" s="176">
        <v>81806.429999999993</v>
      </c>
      <c r="L50" s="183" t="s">
        <v>12</v>
      </c>
    </row>
  </sheetData>
  <autoFilter ref="A1:M50" xr:uid="{B3D1A20F-A953-4A64-8A48-574730389814}">
    <filterColumn colId="4">
      <filters>
        <filter val="stočné"/>
      </filters>
    </filterColumn>
    <filterColumn colId="5">
      <filters>
        <filter val="Srbice/Hoštičky"/>
      </filters>
    </filterColumn>
  </autoFilter>
  <pageMargins left="0.7" right="0.7" top="0.75" bottom="0.75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3160-090D-417F-A0C0-12C243689E4A}">
  <dimension ref="B2:K41"/>
  <sheetViews>
    <sheetView showGridLines="0" workbookViewId="0">
      <selection activeCell="F9" activeCellId="1" sqref="F5:F6 F9"/>
    </sheetView>
  </sheetViews>
  <sheetFormatPr defaultRowHeight="14.4" x14ac:dyDescent="0.3"/>
  <cols>
    <col min="2" max="2" width="10" style="7" bestFit="1" customWidth="1"/>
    <col min="3" max="3" width="31.6640625" customWidth="1"/>
    <col min="4" max="6" width="10.6640625" customWidth="1"/>
    <col min="7" max="7" width="17.109375" style="7" customWidth="1"/>
    <col min="8" max="8" width="8.6640625" style="7" customWidth="1"/>
    <col min="10" max="10" width="28.88671875" bestFit="1" customWidth="1"/>
    <col min="11" max="11" width="10" bestFit="1" customWidth="1"/>
  </cols>
  <sheetData>
    <row r="2" spans="3:11" ht="15" customHeight="1" x14ac:dyDescent="0.3"/>
    <row r="3" spans="3:11" ht="15" customHeight="1" x14ac:dyDescent="0.3">
      <c r="C3" s="1"/>
      <c r="D3" s="2" t="str">
        <f>"1-10/2023"</f>
        <v>1-10/2023</v>
      </c>
      <c r="E3" s="2"/>
      <c r="F3" s="2" t="s">
        <v>111</v>
      </c>
      <c r="G3" s="50" t="s">
        <v>113</v>
      </c>
      <c r="H3" s="50" t="s">
        <v>112</v>
      </c>
    </row>
    <row r="4" spans="3:11" ht="15" customHeight="1" x14ac:dyDescent="0.3">
      <c r="C4" s="3" t="s">
        <v>82</v>
      </c>
      <c r="D4" s="4">
        <v>247.5</v>
      </c>
      <c r="E4" s="5" t="s">
        <v>83</v>
      </c>
      <c r="F4" s="4">
        <f>D4*12/10</f>
        <v>297</v>
      </c>
      <c r="G4" s="5" t="s">
        <v>90</v>
      </c>
      <c r="H4" s="5" t="s">
        <v>6</v>
      </c>
    </row>
    <row r="5" spans="3:11" ht="15" customHeight="1" x14ac:dyDescent="0.3">
      <c r="C5" s="3" t="s">
        <v>84</v>
      </c>
      <c r="D5" s="4">
        <v>3233</v>
      </c>
      <c r="E5" s="5"/>
      <c r="F5" s="4">
        <f>D5</f>
        <v>3233</v>
      </c>
      <c r="G5" s="5" t="s">
        <v>90</v>
      </c>
      <c r="H5" s="5" t="s">
        <v>34</v>
      </c>
    </row>
    <row r="6" spans="3:11" ht="15" customHeight="1" x14ac:dyDescent="0.3">
      <c r="C6" s="3" t="s">
        <v>85</v>
      </c>
      <c r="D6" s="4">
        <v>11316</v>
      </c>
      <c r="E6" s="5"/>
      <c r="F6" s="4">
        <f>D6</f>
        <v>11316</v>
      </c>
      <c r="G6" s="5" t="s">
        <v>90</v>
      </c>
      <c r="H6" s="5" t="s">
        <v>34</v>
      </c>
    </row>
    <row r="7" spans="3:11" ht="15" customHeight="1" x14ac:dyDescent="0.3">
      <c r="C7" s="3" t="s">
        <v>87</v>
      </c>
      <c r="D7" s="4">
        <v>20000</v>
      </c>
      <c r="E7" s="5"/>
      <c r="F7" s="4">
        <v>20000</v>
      </c>
      <c r="G7" s="5" t="s">
        <v>90</v>
      </c>
      <c r="H7" s="5" t="s">
        <v>34</v>
      </c>
    </row>
    <row r="8" spans="3:11" ht="15" customHeight="1" x14ac:dyDescent="0.3">
      <c r="C8" s="3" t="s">
        <v>88</v>
      </c>
      <c r="D8" s="4">
        <v>6343</v>
      </c>
      <c r="E8" s="5"/>
      <c r="F8" s="4">
        <f>D8</f>
        <v>6343</v>
      </c>
      <c r="G8" s="5" t="s">
        <v>90</v>
      </c>
      <c r="H8" s="5" t="s">
        <v>28</v>
      </c>
    </row>
    <row r="9" spans="3:11" ht="15" customHeight="1" x14ac:dyDescent="0.3">
      <c r="C9" s="3" t="s">
        <v>85</v>
      </c>
      <c r="D9" s="4">
        <v>3812</v>
      </c>
      <c r="E9" s="5"/>
      <c r="F9" s="4">
        <f>D9</f>
        <v>3812</v>
      </c>
      <c r="G9" s="5" t="s">
        <v>90</v>
      </c>
      <c r="H9" s="5" t="s">
        <v>34</v>
      </c>
    </row>
    <row r="10" spans="3:11" ht="15" customHeight="1" x14ac:dyDescent="0.3">
      <c r="C10" s="3" t="s">
        <v>89</v>
      </c>
      <c r="D10" s="4">
        <f>941*10</f>
        <v>9410</v>
      </c>
      <c r="E10" s="5"/>
      <c r="F10" s="4">
        <f>D10/10*12</f>
        <v>11292</v>
      </c>
      <c r="G10" s="5" t="s">
        <v>90</v>
      </c>
      <c r="H10" s="5" t="s">
        <v>24</v>
      </c>
    </row>
    <row r="11" spans="3:11" ht="15" customHeight="1" x14ac:dyDescent="0.3">
      <c r="C11" s="3"/>
      <c r="D11" s="4"/>
      <c r="E11" s="5"/>
      <c r="F11" s="4"/>
    </row>
    <row r="12" spans="3:11" ht="15" customHeight="1" x14ac:dyDescent="0.3">
      <c r="C12" s="3" t="s">
        <v>92</v>
      </c>
      <c r="D12" s="4">
        <v>49.09</v>
      </c>
      <c r="E12" s="5"/>
      <c r="F12" s="4">
        <f>D12</f>
        <v>49.09</v>
      </c>
      <c r="G12" s="5" t="s">
        <v>91</v>
      </c>
      <c r="H12" s="5" t="s">
        <v>28</v>
      </c>
    </row>
    <row r="13" spans="3:11" ht="15" customHeight="1" x14ac:dyDescent="0.3">
      <c r="C13" s="3" t="s">
        <v>93</v>
      </c>
      <c r="D13" s="4">
        <v>578.51</v>
      </c>
      <c r="E13" s="5"/>
      <c r="F13" s="4">
        <f t="shared" ref="F13:F17" si="0">D13</f>
        <v>578.51</v>
      </c>
      <c r="G13" s="5" t="s">
        <v>91</v>
      </c>
      <c r="H13" s="5" t="s">
        <v>28</v>
      </c>
    </row>
    <row r="14" spans="3:11" ht="15" customHeight="1" x14ac:dyDescent="0.3">
      <c r="C14" s="3" t="s">
        <v>94</v>
      </c>
      <c r="D14" s="4">
        <v>1906</v>
      </c>
      <c r="E14" s="5"/>
      <c r="F14" s="4">
        <f t="shared" si="0"/>
        <v>1906</v>
      </c>
      <c r="G14" s="5" t="s">
        <v>91</v>
      </c>
      <c r="H14" s="5" t="s">
        <v>28</v>
      </c>
    </row>
    <row r="15" spans="3:11" ht="15" customHeight="1" x14ac:dyDescent="0.3">
      <c r="C15" s="3" t="s">
        <v>95</v>
      </c>
      <c r="D15" s="4">
        <f>13200+490+0.08</f>
        <v>13690.08</v>
      </c>
      <c r="E15" s="5"/>
      <c r="F15" s="4">
        <f t="shared" si="0"/>
        <v>13690.08</v>
      </c>
      <c r="G15" s="5" t="s">
        <v>91</v>
      </c>
      <c r="H15" s="5" t="s">
        <v>28</v>
      </c>
    </row>
    <row r="16" spans="3:11" ht="15" customHeight="1" x14ac:dyDescent="0.3">
      <c r="C16" s="3" t="s">
        <v>96</v>
      </c>
      <c r="D16" s="4">
        <v>7942</v>
      </c>
      <c r="E16" s="5"/>
      <c r="F16" s="4">
        <f t="shared" si="0"/>
        <v>7942</v>
      </c>
      <c r="G16" s="5" t="s">
        <v>91</v>
      </c>
      <c r="H16" s="5" t="s">
        <v>28</v>
      </c>
      <c r="K16" s="49"/>
    </row>
    <row r="17" spans="3:8" ht="15" customHeight="1" x14ac:dyDescent="0.3">
      <c r="C17" s="3" t="s">
        <v>97</v>
      </c>
      <c r="D17" s="4">
        <v>5032.96</v>
      </c>
      <c r="E17" s="5"/>
      <c r="F17" s="4">
        <f t="shared" si="0"/>
        <v>5032.96</v>
      </c>
      <c r="G17" s="5" t="s">
        <v>91</v>
      </c>
      <c r="H17" s="5" t="s">
        <v>8</v>
      </c>
    </row>
    <row r="18" spans="3:8" ht="15" customHeight="1" x14ac:dyDescent="0.3">
      <c r="C18" s="3" t="s">
        <v>98</v>
      </c>
      <c r="D18" s="4">
        <v>60955.13</v>
      </c>
      <c r="E18" s="5"/>
      <c r="F18" s="4">
        <f>D18*12/10</f>
        <v>73146.155999999988</v>
      </c>
      <c r="G18" s="5" t="s">
        <v>91</v>
      </c>
      <c r="H18" s="5" t="s">
        <v>12</v>
      </c>
    </row>
    <row r="19" spans="3:8" ht="15" customHeight="1" x14ac:dyDescent="0.3">
      <c r="C19" s="3" t="s">
        <v>99</v>
      </c>
      <c r="D19" s="4">
        <f>29061.3+2800</f>
        <v>31861.3</v>
      </c>
      <c r="E19" s="5"/>
      <c r="F19" s="4">
        <f>D19</f>
        <v>31861.3</v>
      </c>
      <c r="G19" s="5" t="s">
        <v>91</v>
      </c>
      <c r="H19" s="5" t="s">
        <v>28</v>
      </c>
    </row>
    <row r="20" spans="3:8" ht="15" customHeight="1" x14ac:dyDescent="0.3">
      <c r="C20" s="3" t="s">
        <v>100</v>
      </c>
      <c r="D20" s="4">
        <f>189669.52+225769.01</f>
        <v>415438.53</v>
      </c>
      <c r="E20" s="5"/>
      <c r="F20" s="4">
        <f t="shared" ref="F20:F31" si="1">D20</f>
        <v>415438.53</v>
      </c>
      <c r="G20" s="5" t="s">
        <v>91</v>
      </c>
      <c r="H20" s="5" t="s">
        <v>28</v>
      </c>
    </row>
    <row r="21" spans="3:8" ht="15" customHeight="1" x14ac:dyDescent="0.3">
      <c r="C21" s="3" t="s">
        <v>101</v>
      </c>
      <c r="D21" s="4">
        <f>12050.5</f>
        <v>12050.5</v>
      </c>
      <c r="E21" s="5"/>
      <c r="F21" s="4">
        <f t="shared" si="1"/>
        <v>12050.5</v>
      </c>
      <c r="G21" s="5" t="s">
        <v>91</v>
      </c>
      <c r="H21" s="5" t="s">
        <v>28</v>
      </c>
    </row>
    <row r="22" spans="3:8" ht="15" customHeight="1" x14ac:dyDescent="0.3">
      <c r="C22" s="3" t="s">
        <v>102</v>
      </c>
      <c r="D22" s="4">
        <v>14399</v>
      </c>
      <c r="E22" s="5"/>
      <c r="F22" s="4">
        <f t="shared" si="1"/>
        <v>14399</v>
      </c>
      <c r="G22" s="5" t="s">
        <v>91</v>
      </c>
      <c r="H22" s="5" t="s">
        <v>28</v>
      </c>
    </row>
    <row r="23" spans="3:8" ht="15" customHeight="1" x14ac:dyDescent="0.3">
      <c r="C23" s="3" t="s">
        <v>103</v>
      </c>
      <c r="D23" s="4">
        <v>3233</v>
      </c>
      <c r="E23" s="5"/>
      <c r="F23" s="4">
        <f t="shared" si="1"/>
        <v>3233</v>
      </c>
      <c r="G23" s="5" t="s">
        <v>91</v>
      </c>
      <c r="H23" s="5" t="s">
        <v>34</v>
      </c>
    </row>
    <row r="24" spans="3:8" ht="15" customHeight="1" x14ac:dyDescent="0.3">
      <c r="C24" s="3" t="s">
        <v>104</v>
      </c>
      <c r="D24" s="4">
        <v>2400</v>
      </c>
      <c r="E24" s="5"/>
      <c r="F24" s="4">
        <f t="shared" si="1"/>
        <v>2400</v>
      </c>
      <c r="G24" s="5" t="s">
        <v>91</v>
      </c>
      <c r="H24" s="5" t="s">
        <v>28</v>
      </c>
    </row>
    <row r="25" spans="3:8" ht="15" customHeight="1" x14ac:dyDescent="0.3">
      <c r="C25" s="3" t="s">
        <v>88</v>
      </c>
      <c r="D25" s="4">
        <v>6343</v>
      </c>
      <c r="E25" s="5"/>
      <c r="F25" s="4">
        <f>D25</f>
        <v>6343</v>
      </c>
      <c r="G25" s="5" t="s">
        <v>91</v>
      </c>
      <c r="H25" s="5" t="s">
        <v>28</v>
      </c>
    </row>
    <row r="26" spans="3:8" ht="15" customHeight="1" x14ac:dyDescent="0.3">
      <c r="C26" s="3" t="s">
        <v>81</v>
      </c>
      <c r="D26" s="4">
        <v>3496</v>
      </c>
      <c r="E26" s="5"/>
      <c r="F26" s="4">
        <f t="shared" si="1"/>
        <v>3496</v>
      </c>
      <c r="G26" s="5" t="s">
        <v>91</v>
      </c>
      <c r="H26" s="5" t="s">
        <v>34</v>
      </c>
    </row>
    <row r="27" spans="3:8" ht="15" customHeight="1" x14ac:dyDescent="0.3">
      <c r="C27" s="3" t="s">
        <v>81</v>
      </c>
      <c r="D27" s="4">
        <v>14473</v>
      </c>
      <c r="E27" s="5"/>
      <c r="F27" s="4">
        <f t="shared" si="1"/>
        <v>14473</v>
      </c>
      <c r="G27" s="5" t="s">
        <v>91</v>
      </c>
      <c r="H27" s="5" t="s">
        <v>34</v>
      </c>
    </row>
    <row r="28" spans="3:8" ht="15" customHeight="1" x14ac:dyDescent="0.3">
      <c r="C28" s="3" t="s">
        <v>81</v>
      </c>
      <c r="D28" s="4">
        <v>1972</v>
      </c>
      <c r="E28" s="5"/>
      <c r="F28" s="4">
        <f t="shared" si="1"/>
        <v>1972</v>
      </c>
      <c r="G28" s="5" t="s">
        <v>91</v>
      </c>
      <c r="H28" s="5" t="s">
        <v>34</v>
      </c>
    </row>
    <row r="29" spans="3:8" ht="15" customHeight="1" x14ac:dyDescent="0.3">
      <c r="C29" s="3" t="s">
        <v>81</v>
      </c>
      <c r="D29" s="4">
        <v>2080</v>
      </c>
      <c r="E29" s="5"/>
      <c r="F29" s="4">
        <f>D29</f>
        <v>2080</v>
      </c>
      <c r="G29" s="5" t="s">
        <v>91</v>
      </c>
      <c r="H29" s="5" t="s">
        <v>34</v>
      </c>
    </row>
    <row r="30" spans="3:8" ht="15" customHeight="1" x14ac:dyDescent="0.3">
      <c r="C30" s="3" t="s">
        <v>105</v>
      </c>
      <c r="D30" s="4">
        <v>397.35</v>
      </c>
      <c r="E30" s="5"/>
      <c r="F30" s="4">
        <f t="shared" si="1"/>
        <v>397.35</v>
      </c>
      <c r="G30" s="5" t="s">
        <v>91</v>
      </c>
      <c r="H30" s="5" t="s">
        <v>34</v>
      </c>
    </row>
    <row r="31" spans="3:8" ht="15" customHeight="1" x14ac:dyDescent="0.3">
      <c r="C31" s="3" t="s">
        <v>106</v>
      </c>
      <c r="D31" s="4">
        <v>-14399</v>
      </c>
      <c r="E31" s="5"/>
      <c r="F31" s="4">
        <f t="shared" si="1"/>
        <v>-14399</v>
      </c>
      <c r="G31" s="5" t="s">
        <v>91</v>
      </c>
      <c r="H31" s="5" t="s">
        <v>28</v>
      </c>
    </row>
    <row r="32" spans="3:8" ht="15" customHeight="1" x14ac:dyDescent="0.3">
      <c r="C32" s="3" t="s">
        <v>107</v>
      </c>
      <c r="D32" s="4">
        <v>122313</v>
      </c>
      <c r="E32" s="5"/>
      <c r="F32" s="4">
        <f>D32/10*12</f>
        <v>146775.59999999998</v>
      </c>
      <c r="G32" s="5" t="s">
        <v>91</v>
      </c>
      <c r="H32" s="5" t="s">
        <v>24</v>
      </c>
    </row>
    <row r="33" spans="3:8" ht="15" customHeight="1" x14ac:dyDescent="0.3">
      <c r="C33" s="3"/>
      <c r="D33" s="4"/>
      <c r="E33" s="5"/>
      <c r="F33" s="4"/>
    </row>
    <row r="34" spans="3:8" x14ac:dyDescent="0.3">
      <c r="C34" s="3" t="s">
        <v>82</v>
      </c>
      <c r="D34" s="4">
        <v>247.5</v>
      </c>
      <c r="E34" s="5" t="s">
        <v>83</v>
      </c>
      <c r="F34" s="4">
        <f>D34*12/10</f>
        <v>297</v>
      </c>
      <c r="G34" s="5" t="s">
        <v>108</v>
      </c>
      <c r="H34" s="5" t="s">
        <v>6</v>
      </c>
    </row>
    <row r="35" spans="3:8" x14ac:dyDescent="0.3">
      <c r="C35" s="3" t="s">
        <v>0</v>
      </c>
      <c r="D35" s="4">
        <v>3233</v>
      </c>
      <c r="E35" s="5"/>
      <c r="F35" s="4">
        <f>D35</f>
        <v>3233</v>
      </c>
      <c r="G35" s="5" t="s">
        <v>108</v>
      </c>
      <c r="H35" s="5" t="s">
        <v>34</v>
      </c>
    </row>
    <row r="36" spans="3:8" x14ac:dyDescent="0.3">
      <c r="C36" s="3" t="s">
        <v>109</v>
      </c>
      <c r="D36" s="4">
        <v>2744</v>
      </c>
      <c r="E36" s="5"/>
      <c r="F36" s="4">
        <f t="shared" ref="F36:F40" si="2">D36</f>
        <v>2744</v>
      </c>
      <c r="G36" s="5" t="s">
        <v>108</v>
      </c>
      <c r="H36" s="5" t="s">
        <v>34</v>
      </c>
    </row>
    <row r="37" spans="3:8" x14ac:dyDescent="0.3">
      <c r="C37" s="3" t="s">
        <v>109</v>
      </c>
      <c r="D37" s="4">
        <v>14089</v>
      </c>
      <c r="E37" s="5"/>
      <c r="F37" s="4">
        <f t="shared" si="2"/>
        <v>14089</v>
      </c>
      <c r="G37" s="5" t="s">
        <v>108</v>
      </c>
      <c r="H37" s="5" t="s">
        <v>34</v>
      </c>
    </row>
    <row r="38" spans="3:8" x14ac:dyDescent="0.3">
      <c r="C38" s="3" t="s">
        <v>86</v>
      </c>
      <c r="D38" s="4">
        <v>20000</v>
      </c>
      <c r="E38" s="5"/>
      <c r="F38" s="4">
        <f t="shared" si="2"/>
        <v>20000</v>
      </c>
      <c r="G38" s="5" t="s">
        <v>108</v>
      </c>
      <c r="H38" s="5" t="s">
        <v>34</v>
      </c>
    </row>
    <row r="39" spans="3:8" x14ac:dyDescent="0.3">
      <c r="C39" s="3" t="s">
        <v>88</v>
      </c>
      <c r="D39" s="4">
        <v>6343</v>
      </c>
      <c r="E39" s="5"/>
      <c r="F39" s="4">
        <f t="shared" si="2"/>
        <v>6343</v>
      </c>
      <c r="G39" s="5" t="s">
        <v>108</v>
      </c>
      <c r="H39" s="5" t="s">
        <v>28</v>
      </c>
    </row>
    <row r="40" spans="3:8" x14ac:dyDescent="0.3">
      <c r="C40" s="3" t="s">
        <v>110</v>
      </c>
      <c r="D40" s="4">
        <v>298.05</v>
      </c>
      <c r="F40" s="4">
        <f t="shared" si="2"/>
        <v>298.05</v>
      </c>
      <c r="G40" s="5" t="s">
        <v>108</v>
      </c>
      <c r="H40" s="5" t="s">
        <v>34</v>
      </c>
    </row>
    <row r="41" spans="3:8" x14ac:dyDescent="0.3">
      <c r="C41" s="3" t="s">
        <v>107</v>
      </c>
      <c r="D41" s="4">
        <v>7180</v>
      </c>
      <c r="F41" s="4">
        <f>D41*12/10</f>
        <v>8616</v>
      </c>
      <c r="G41" s="5" t="s">
        <v>108</v>
      </c>
      <c r="H41" s="5" t="s">
        <v>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3764-21A1-4B2D-8188-BE7BA91A7539}">
  <dimension ref="B3:F15"/>
  <sheetViews>
    <sheetView workbookViewId="0">
      <selection activeCell="F15" sqref="F15"/>
    </sheetView>
  </sheetViews>
  <sheetFormatPr defaultRowHeight="14.4" x14ac:dyDescent="0.3"/>
  <sheetData>
    <row r="3" spans="2:6" x14ac:dyDescent="0.3">
      <c r="B3">
        <v>12</v>
      </c>
      <c r="C3">
        <v>1190</v>
      </c>
      <c r="E3" t="s">
        <v>169</v>
      </c>
      <c r="F3">
        <v>1698</v>
      </c>
    </row>
    <row r="4" spans="2:6" x14ac:dyDescent="0.3">
      <c r="B4">
        <v>1</v>
      </c>
      <c r="C4">
        <v>1266</v>
      </c>
      <c r="E4" t="s">
        <v>170</v>
      </c>
      <c r="F4">
        <v>1550</v>
      </c>
    </row>
    <row r="5" spans="2:6" x14ac:dyDescent="0.3">
      <c r="B5">
        <v>2</v>
      </c>
      <c r="C5">
        <v>1097</v>
      </c>
      <c r="E5" t="s">
        <v>171</v>
      </c>
      <c r="F5">
        <v>1489</v>
      </c>
    </row>
    <row r="6" spans="2:6" x14ac:dyDescent="0.3">
      <c r="B6">
        <v>3</v>
      </c>
      <c r="C6">
        <v>1273</v>
      </c>
      <c r="E6" t="s">
        <v>172</v>
      </c>
      <c r="F6">
        <v>1198</v>
      </c>
    </row>
    <row r="7" spans="2:6" x14ac:dyDescent="0.3">
      <c r="B7">
        <v>4</v>
      </c>
      <c r="C7">
        <v>1154</v>
      </c>
      <c r="E7" t="s">
        <v>173</v>
      </c>
      <c r="F7">
        <v>1455</v>
      </c>
    </row>
    <row r="8" spans="2:6" x14ac:dyDescent="0.3">
      <c r="B8">
        <v>5</v>
      </c>
      <c r="C8">
        <v>1578</v>
      </c>
      <c r="E8" t="s">
        <v>174</v>
      </c>
      <c r="F8">
        <v>1285</v>
      </c>
    </row>
    <row r="9" spans="2:6" x14ac:dyDescent="0.3">
      <c r="B9">
        <v>6</v>
      </c>
      <c r="C9">
        <v>1628</v>
      </c>
      <c r="E9" t="s">
        <v>175</v>
      </c>
      <c r="F9">
        <v>1190</v>
      </c>
    </row>
    <row r="10" spans="2:6" x14ac:dyDescent="0.3">
      <c r="B10">
        <v>7</v>
      </c>
      <c r="C10">
        <v>1537</v>
      </c>
      <c r="E10" t="s">
        <v>176</v>
      </c>
      <c r="F10">
        <v>1266</v>
      </c>
    </row>
    <row r="11" spans="2:6" x14ac:dyDescent="0.3">
      <c r="B11">
        <v>8</v>
      </c>
      <c r="C11">
        <v>1313</v>
      </c>
      <c r="E11" t="s">
        <v>177</v>
      </c>
      <c r="F11">
        <v>1097</v>
      </c>
    </row>
    <row r="12" spans="2:6" x14ac:dyDescent="0.3">
      <c r="B12">
        <v>9</v>
      </c>
      <c r="C12">
        <v>1265</v>
      </c>
      <c r="E12" t="s">
        <v>178</v>
      </c>
      <c r="F12">
        <v>1273</v>
      </c>
    </row>
    <row r="13" spans="2:6" x14ac:dyDescent="0.3">
      <c r="B13">
        <v>10</v>
      </c>
      <c r="C13">
        <v>1282</v>
      </c>
      <c r="E13" t="s">
        <v>179</v>
      </c>
      <c r="F13">
        <v>1154</v>
      </c>
    </row>
    <row r="14" spans="2:6" x14ac:dyDescent="0.3">
      <c r="B14">
        <v>11</v>
      </c>
      <c r="C14">
        <v>1204</v>
      </c>
      <c r="E14" t="s">
        <v>180</v>
      </c>
      <c r="F14">
        <v>1578</v>
      </c>
    </row>
    <row r="15" spans="2:6" x14ac:dyDescent="0.3">
      <c r="B15" s="57" t="s">
        <v>73</v>
      </c>
      <c r="C15" s="57">
        <f>SUM(C3:C14)</f>
        <v>15787</v>
      </c>
      <c r="F15">
        <f>SUM(F3:F14)</f>
        <v>16233</v>
      </c>
    </row>
  </sheetData>
  <phoneticPr fontId="1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E3C0-40D0-4461-B091-1313A35AE2DC}">
  <dimension ref="A1:Q40"/>
  <sheetViews>
    <sheetView workbookViewId="0">
      <selection activeCell="B11" sqref="B11"/>
    </sheetView>
  </sheetViews>
  <sheetFormatPr defaultRowHeight="13.2" x14ac:dyDescent="0.25"/>
  <cols>
    <col min="1" max="1" width="9" style="67" customWidth="1"/>
    <col min="2" max="3" width="7.44140625" style="67" customWidth="1"/>
    <col min="4" max="4" width="6" style="67" customWidth="1"/>
    <col min="5" max="5" width="10.6640625" style="67" customWidth="1"/>
    <col min="6" max="6" width="8.44140625" style="67" customWidth="1"/>
    <col min="7" max="7" width="9.109375" style="67"/>
    <col min="8" max="8" width="8.109375" style="67" customWidth="1"/>
    <col min="9" max="9" width="7.33203125" style="67" customWidth="1"/>
    <col min="10" max="10" width="7.88671875" style="67" customWidth="1"/>
    <col min="11" max="11" width="7.109375" style="67" customWidth="1"/>
    <col min="12" max="256" width="9.109375" style="67"/>
    <col min="257" max="257" width="9" style="67" customWidth="1"/>
    <col min="258" max="259" width="7.44140625" style="67" customWidth="1"/>
    <col min="260" max="260" width="6" style="67" customWidth="1"/>
    <col min="261" max="261" width="10.6640625" style="67" customWidth="1"/>
    <col min="262" max="262" width="8.44140625" style="67" customWidth="1"/>
    <col min="263" max="263" width="9.109375" style="67"/>
    <col min="264" max="264" width="8.109375" style="67" customWidth="1"/>
    <col min="265" max="265" width="7.33203125" style="67" customWidth="1"/>
    <col min="266" max="266" width="7.88671875" style="67" customWidth="1"/>
    <col min="267" max="267" width="7.109375" style="67" customWidth="1"/>
    <col min="268" max="512" width="9.109375" style="67"/>
    <col min="513" max="513" width="9" style="67" customWidth="1"/>
    <col min="514" max="515" width="7.44140625" style="67" customWidth="1"/>
    <col min="516" max="516" width="6" style="67" customWidth="1"/>
    <col min="517" max="517" width="10.6640625" style="67" customWidth="1"/>
    <col min="518" max="518" width="8.44140625" style="67" customWidth="1"/>
    <col min="519" max="519" width="9.109375" style="67"/>
    <col min="520" max="520" width="8.109375" style="67" customWidth="1"/>
    <col min="521" max="521" width="7.33203125" style="67" customWidth="1"/>
    <col min="522" max="522" width="7.88671875" style="67" customWidth="1"/>
    <col min="523" max="523" width="7.109375" style="67" customWidth="1"/>
    <col min="524" max="768" width="9.109375" style="67"/>
    <col min="769" max="769" width="9" style="67" customWidth="1"/>
    <col min="770" max="771" width="7.44140625" style="67" customWidth="1"/>
    <col min="772" max="772" width="6" style="67" customWidth="1"/>
    <col min="773" max="773" width="10.6640625" style="67" customWidth="1"/>
    <col min="774" max="774" width="8.44140625" style="67" customWidth="1"/>
    <col min="775" max="775" width="9.109375" style="67"/>
    <col min="776" max="776" width="8.109375" style="67" customWidth="1"/>
    <col min="777" max="777" width="7.33203125" style="67" customWidth="1"/>
    <col min="778" max="778" width="7.88671875" style="67" customWidth="1"/>
    <col min="779" max="779" width="7.109375" style="67" customWidth="1"/>
    <col min="780" max="1024" width="9.109375" style="67"/>
    <col min="1025" max="1025" width="9" style="67" customWidth="1"/>
    <col min="1026" max="1027" width="7.44140625" style="67" customWidth="1"/>
    <col min="1028" max="1028" width="6" style="67" customWidth="1"/>
    <col min="1029" max="1029" width="10.6640625" style="67" customWidth="1"/>
    <col min="1030" max="1030" width="8.44140625" style="67" customWidth="1"/>
    <col min="1031" max="1031" width="9.109375" style="67"/>
    <col min="1032" max="1032" width="8.109375" style="67" customWidth="1"/>
    <col min="1033" max="1033" width="7.33203125" style="67" customWidth="1"/>
    <col min="1034" max="1034" width="7.88671875" style="67" customWidth="1"/>
    <col min="1035" max="1035" width="7.109375" style="67" customWidth="1"/>
    <col min="1036" max="1280" width="9.109375" style="67"/>
    <col min="1281" max="1281" width="9" style="67" customWidth="1"/>
    <col min="1282" max="1283" width="7.44140625" style="67" customWidth="1"/>
    <col min="1284" max="1284" width="6" style="67" customWidth="1"/>
    <col min="1285" max="1285" width="10.6640625" style="67" customWidth="1"/>
    <col min="1286" max="1286" width="8.44140625" style="67" customWidth="1"/>
    <col min="1287" max="1287" width="9.109375" style="67"/>
    <col min="1288" max="1288" width="8.109375" style="67" customWidth="1"/>
    <col min="1289" max="1289" width="7.33203125" style="67" customWidth="1"/>
    <col min="1290" max="1290" width="7.88671875" style="67" customWidth="1"/>
    <col min="1291" max="1291" width="7.109375" style="67" customWidth="1"/>
    <col min="1292" max="1536" width="9.109375" style="67"/>
    <col min="1537" max="1537" width="9" style="67" customWidth="1"/>
    <col min="1538" max="1539" width="7.44140625" style="67" customWidth="1"/>
    <col min="1540" max="1540" width="6" style="67" customWidth="1"/>
    <col min="1541" max="1541" width="10.6640625" style="67" customWidth="1"/>
    <col min="1542" max="1542" width="8.44140625" style="67" customWidth="1"/>
    <col min="1543" max="1543" width="9.109375" style="67"/>
    <col min="1544" max="1544" width="8.109375" style="67" customWidth="1"/>
    <col min="1545" max="1545" width="7.33203125" style="67" customWidth="1"/>
    <col min="1546" max="1546" width="7.88671875" style="67" customWidth="1"/>
    <col min="1547" max="1547" width="7.109375" style="67" customWidth="1"/>
    <col min="1548" max="1792" width="9.109375" style="67"/>
    <col min="1793" max="1793" width="9" style="67" customWidth="1"/>
    <col min="1794" max="1795" width="7.44140625" style="67" customWidth="1"/>
    <col min="1796" max="1796" width="6" style="67" customWidth="1"/>
    <col min="1797" max="1797" width="10.6640625" style="67" customWidth="1"/>
    <col min="1798" max="1798" width="8.44140625" style="67" customWidth="1"/>
    <col min="1799" max="1799" width="9.109375" style="67"/>
    <col min="1800" max="1800" width="8.109375" style="67" customWidth="1"/>
    <col min="1801" max="1801" width="7.33203125" style="67" customWidth="1"/>
    <col min="1802" max="1802" width="7.88671875" style="67" customWidth="1"/>
    <col min="1803" max="1803" width="7.109375" style="67" customWidth="1"/>
    <col min="1804" max="2048" width="9.109375" style="67"/>
    <col min="2049" max="2049" width="9" style="67" customWidth="1"/>
    <col min="2050" max="2051" width="7.44140625" style="67" customWidth="1"/>
    <col min="2052" max="2052" width="6" style="67" customWidth="1"/>
    <col min="2053" max="2053" width="10.6640625" style="67" customWidth="1"/>
    <col min="2054" max="2054" width="8.44140625" style="67" customWidth="1"/>
    <col min="2055" max="2055" width="9.109375" style="67"/>
    <col min="2056" max="2056" width="8.109375" style="67" customWidth="1"/>
    <col min="2057" max="2057" width="7.33203125" style="67" customWidth="1"/>
    <col min="2058" max="2058" width="7.88671875" style="67" customWidth="1"/>
    <col min="2059" max="2059" width="7.109375" style="67" customWidth="1"/>
    <col min="2060" max="2304" width="9.109375" style="67"/>
    <col min="2305" max="2305" width="9" style="67" customWidth="1"/>
    <col min="2306" max="2307" width="7.44140625" style="67" customWidth="1"/>
    <col min="2308" max="2308" width="6" style="67" customWidth="1"/>
    <col min="2309" max="2309" width="10.6640625" style="67" customWidth="1"/>
    <col min="2310" max="2310" width="8.44140625" style="67" customWidth="1"/>
    <col min="2311" max="2311" width="9.109375" style="67"/>
    <col min="2312" max="2312" width="8.109375" style="67" customWidth="1"/>
    <col min="2313" max="2313" width="7.33203125" style="67" customWidth="1"/>
    <col min="2314" max="2314" width="7.88671875" style="67" customWidth="1"/>
    <col min="2315" max="2315" width="7.109375" style="67" customWidth="1"/>
    <col min="2316" max="2560" width="9.109375" style="67"/>
    <col min="2561" max="2561" width="9" style="67" customWidth="1"/>
    <col min="2562" max="2563" width="7.44140625" style="67" customWidth="1"/>
    <col min="2564" max="2564" width="6" style="67" customWidth="1"/>
    <col min="2565" max="2565" width="10.6640625" style="67" customWidth="1"/>
    <col min="2566" max="2566" width="8.44140625" style="67" customWidth="1"/>
    <col min="2567" max="2567" width="9.109375" style="67"/>
    <col min="2568" max="2568" width="8.109375" style="67" customWidth="1"/>
    <col min="2569" max="2569" width="7.33203125" style="67" customWidth="1"/>
    <col min="2570" max="2570" width="7.88671875" style="67" customWidth="1"/>
    <col min="2571" max="2571" width="7.109375" style="67" customWidth="1"/>
    <col min="2572" max="2816" width="9.109375" style="67"/>
    <col min="2817" max="2817" width="9" style="67" customWidth="1"/>
    <col min="2818" max="2819" width="7.44140625" style="67" customWidth="1"/>
    <col min="2820" max="2820" width="6" style="67" customWidth="1"/>
    <col min="2821" max="2821" width="10.6640625" style="67" customWidth="1"/>
    <col min="2822" max="2822" width="8.44140625" style="67" customWidth="1"/>
    <col min="2823" max="2823" width="9.109375" style="67"/>
    <col min="2824" max="2824" width="8.109375" style="67" customWidth="1"/>
    <col min="2825" max="2825" width="7.33203125" style="67" customWidth="1"/>
    <col min="2826" max="2826" width="7.88671875" style="67" customWidth="1"/>
    <col min="2827" max="2827" width="7.109375" style="67" customWidth="1"/>
    <col min="2828" max="3072" width="9.109375" style="67"/>
    <col min="3073" max="3073" width="9" style="67" customWidth="1"/>
    <col min="3074" max="3075" width="7.44140625" style="67" customWidth="1"/>
    <col min="3076" max="3076" width="6" style="67" customWidth="1"/>
    <col min="3077" max="3077" width="10.6640625" style="67" customWidth="1"/>
    <col min="3078" max="3078" width="8.44140625" style="67" customWidth="1"/>
    <col min="3079" max="3079" width="9.109375" style="67"/>
    <col min="3080" max="3080" width="8.109375" style="67" customWidth="1"/>
    <col min="3081" max="3081" width="7.33203125" style="67" customWidth="1"/>
    <col min="3082" max="3082" width="7.88671875" style="67" customWidth="1"/>
    <col min="3083" max="3083" width="7.109375" style="67" customWidth="1"/>
    <col min="3084" max="3328" width="9.109375" style="67"/>
    <col min="3329" max="3329" width="9" style="67" customWidth="1"/>
    <col min="3330" max="3331" width="7.44140625" style="67" customWidth="1"/>
    <col min="3332" max="3332" width="6" style="67" customWidth="1"/>
    <col min="3333" max="3333" width="10.6640625" style="67" customWidth="1"/>
    <col min="3334" max="3334" width="8.44140625" style="67" customWidth="1"/>
    <col min="3335" max="3335" width="9.109375" style="67"/>
    <col min="3336" max="3336" width="8.109375" style="67" customWidth="1"/>
    <col min="3337" max="3337" width="7.33203125" style="67" customWidth="1"/>
    <col min="3338" max="3338" width="7.88671875" style="67" customWidth="1"/>
    <col min="3339" max="3339" width="7.109375" style="67" customWidth="1"/>
    <col min="3340" max="3584" width="9.109375" style="67"/>
    <col min="3585" max="3585" width="9" style="67" customWidth="1"/>
    <col min="3586" max="3587" width="7.44140625" style="67" customWidth="1"/>
    <col min="3588" max="3588" width="6" style="67" customWidth="1"/>
    <col min="3589" max="3589" width="10.6640625" style="67" customWidth="1"/>
    <col min="3590" max="3590" width="8.44140625" style="67" customWidth="1"/>
    <col min="3591" max="3591" width="9.109375" style="67"/>
    <col min="3592" max="3592" width="8.109375" style="67" customWidth="1"/>
    <col min="3593" max="3593" width="7.33203125" style="67" customWidth="1"/>
    <col min="3594" max="3594" width="7.88671875" style="67" customWidth="1"/>
    <col min="3595" max="3595" width="7.109375" style="67" customWidth="1"/>
    <col min="3596" max="3840" width="9.109375" style="67"/>
    <col min="3841" max="3841" width="9" style="67" customWidth="1"/>
    <col min="3842" max="3843" width="7.44140625" style="67" customWidth="1"/>
    <col min="3844" max="3844" width="6" style="67" customWidth="1"/>
    <col min="3845" max="3845" width="10.6640625" style="67" customWidth="1"/>
    <col min="3846" max="3846" width="8.44140625" style="67" customWidth="1"/>
    <col min="3847" max="3847" width="9.109375" style="67"/>
    <col min="3848" max="3848" width="8.109375" style="67" customWidth="1"/>
    <col min="3849" max="3849" width="7.33203125" style="67" customWidth="1"/>
    <col min="3850" max="3850" width="7.88671875" style="67" customWidth="1"/>
    <col min="3851" max="3851" width="7.109375" style="67" customWidth="1"/>
    <col min="3852" max="4096" width="9.109375" style="67"/>
    <col min="4097" max="4097" width="9" style="67" customWidth="1"/>
    <col min="4098" max="4099" width="7.44140625" style="67" customWidth="1"/>
    <col min="4100" max="4100" width="6" style="67" customWidth="1"/>
    <col min="4101" max="4101" width="10.6640625" style="67" customWidth="1"/>
    <col min="4102" max="4102" width="8.44140625" style="67" customWidth="1"/>
    <col min="4103" max="4103" width="9.109375" style="67"/>
    <col min="4104" max="4104" width="8.109375" style="67" customWidth="1"/>
    <col min="4105" max="4105" width="7.33203125" style="67" customWidth="1"/>
    <col min="4106" max="4106" width="7.88671875" style="67" customWidth="1"/>
    <col min="4107" max="4107" width="7.109375" style="67" customWidth="1"/>
    <col min="4108" max="4352" width="9.109375" style="67"/>
    <col min="4353" max="4353" width="9" style="67" customWidth="1"/>
    <col min="4354" max="4355" width="7.44140625" style="67" customWidth="1"/>
    <col min="4356" max="4356" width="6" style="67" customWidth="1"/>
    <col min="4357" max="4357" width="10.6640625" style="67" customWidth="1"/>
    <col min="4358" max="4358" width="8.44140625" style="67" customWidth="1"/>
    <col min="4359" max="4359" width="9.109375" style="67"/>
    <col min="4360" max="4360" width="8.109375" style="67" customWidth="1"/>
    <col min="4361" max="4361" width="7.33203125" style="67" customWidth="1"/>
    <col min="4362" max="4362" width="7.88671875" style="67" customWidth="1"/>
    <col min="4363" max="4363" width="7.109375" style="67" customWidth="1"/>
    <col min="4364" max="4608" width="9.109375" style="67"/>
    <col min="4609" max="4609" width="9" style="67" customWidth="1"/>
    <col min="4610" max="4611" width="7.44140625" style="67" customWidth="1"/>
    <col min="4612" max="4612" width="6" style="67" customWidth="1"/>
    <col min="4613" max="4613" width="10.6640625" style="67" customWidth="1"/>
    <col min="4614" max="4614" width="8.44140625" style="67" customWidth="1"/>
    <col min="4615" max="4615" width="9.109375" style="67"/>
    <col min="4616" max="4616" width="8.109375" style="67" customWidth="1"/>
    <col min="4617" max="4617" width="7.33203125" style="67" customWidth="1"/>
    <col min="4618" max="4618" width="7.88671875" style="67" customWidth="1"/>
    <col min="4619" max="4619" width="7.109375" style="67" customWidth="1"/>
    <col min="4620" max="4864" width="9.109375" style="67"/>
    <col min="4865" max="4865" width="9" style="67" customWidth="1"/>
    <col min="4866" max="4867" width="7.44140625" style="67" customWidth="1"/>
    <col min="4868" max="4868" width="6" style="67" customWidth="1"/>
    <col min="4869" max="4869" width="10.6640625" style="67" customWidth="1"/>
    <col min="4870" max="4870" width="8.44140625" style="67" customWidth="1"/>
    <col min="4871" max="4871" width="9.109375" style="67"/>
    <col min="4872" max="4872" width="8.109375" style="67" customWidth="1"/>
    <col min="4873" max="4873" width="7.33203125" style="67" customWidth="1"/>
    <col min="4874" max="4874" width="7.88671875" style="67" customWidth="1"/>
    <col min="4875" max="4875" width="7.109375" style="67" customWidth="1"/>
    <col min="4876" max="5120" width="9.109375" style="67"/>
    <col min="5121" max="5121" width="9" style="67" customWidth="1"/>
    <col min="5122" max="5123" width="7.44140625" style="67" customWidth="1"/>
    <col min="5124" max="5124" width="6" style="67" customWidth="1"/>
    <col min="5125" max="5125" width="10.6640625" style="67" customWidth="1"/>
    <col min="5126" max="5126" width="8.44140625" style="67" customWidth="1"/>
    <col min="5127" max="5127" width="9.109375" style="67"/>
    <col min="5128" max="5128" width="8.109375" style="67" customWidth="1"/>
    <col min="5129" max="5129" width="7.33203125" style="67" customWidth="1"/>
    <col min="5130" max="5130" width="7.88671875" style="67" customWidth="1"/>
    <col min="5131" max="5131" width="7.109375" style="67" customWidth="1"/>
    <col min="5132" max="5376" width="9.109375" style="67"/>
    <col min="5377" max="5377" width="9" style="67" customWidth="1"/>
    <col min="5378" max="5379" width="7.44140625" style="67" customWidth="1"/>
    <col min="5380" max="5380" width="6" style="67" customWidth="1"/>
    <col min="5381" max="5381" width="10.6640625" style="67" customWidth="1"/>
    <col min="5382" max="5382" width="8.44140625" style="67" customWidth="1"/>
    <col min="5383" max="5383" width="9.109375" style="67"/>
    <col min="5384" max="5384" width="8.109375" style="67" customWidth="1"/>
    <col min="5385" max="5385" width="7.33203125" style="67" customWidth="1"/>
    <col min="5386" max="5386" width="7.88671875" style="67" customWidth="1"/>
    <col min="5387" max="5387" width="7.109375" style="67" customWidth="1"/>
    <col min="5388" max="5632" width="9.109375" style="67"/>
    <col min="5633" max="5633" width="9" style="67" customWidth="1"/>
    <col min="5634" max="5635" width="7.44140625" style="67" customWidth="1"/>
    <col min="5636" max="5636" width="6" style="67" customWidth="1"/>
    <col min="5637" max="5637" width="10.6640625" style="67" customWidth="1"/>
    <col min="5638" max="5638" width="8.44140625" style="67" customWidth="1"/>
    <col min="5639" max="5639" width="9.109375" style="67"/>
    <col min="5640" max="5640" width="8.109375" style="67" customWidth="1"/>
    <col min="5641" max="5641" width="7.33203125" style="67" customWidth="1"/>
    <col min="5642" max="5642" width="7.88671875" style="67" customWidth="1"/>
    <col min="5643" max="5643" width="7.109375" style="67" customWidth="1"/>
    <col min="5644" max="5888" width="9.109375" style="67"/>
    <col min="5889" max="5889" width="9" style="67" customWidth="1"/>
    <col min="5890" max="5891" width="7.44140625" style="67" customWidth="1"/>
    <col min="5892" max="5892" width="6" style="67" customWidth="1"/>
    <col min="5893" max="5893" width="10.6640625" style="67" customWidth="1"/>
    <col min="5894" max="5894" width="8.44140625" style="67" customWidth="1"/>
    <col min="5895" max="5895" width="9.109375" style="67"/>
    <col min="5896" max="5896" width="8.109375" style="67" customWidth="1"/>
    <col min="5897" max="5897" width="7.33203125" style="67" customWidth="1"/>
    <col min="5898" max="5898" width="7.88671875" style="67" customWidth="1"/>
    <col min="5899" max="5899" width="7.109375" style="67" customWidth="1"/>
    <col min="5900" max="6144" width="9.109375" style="67"/>
    <col min="6145" max="6145" width="9" style="67" customWidth="1"/>
    <col min="6146" max="6147" width="7.44140625" style="67" customWidth="1"/>
    <col min="6148" max="6148" width="6" style="67" customWidth="1"/>
    <col min="6149" max="6149" width="10.6640625" style="67" customWidth="1"/>
    <col min="6150" max="6150" width="8.44140625" style="67" customWidth="1"/>
    <col min="6151" max="6151" width="9.109375" style="67"/>
    <col min="6152" max="6152" width="8.109375" style="67" customWidth="1"/>
    <col min="6153" max="6153" width="7.33203125" style="67" customWidth="1"/>
    <col min="6154" max="6154" width="7.88671875" style="67" customWidth="1"/>
    <col min="6155" max="6155" width="7.109375" style="67" customWidth="1"/>
    <col min="6156" max="6400" width="9.109375" style="67"/>
    <col min="6401" max="6401" width="9" style="67" customWidth="1"/>
    <col min="6402" max="6403" width="7.44140625" style="67" customWidth="1"/>
    <col min="6404" max="6404" width="6" style="67" customWidth="1"/>
    <col min="6405" max="6405" width="10.6640625" style="67" customWidth="1"/>
    <col min="6406" max="6406" width="8.44140625" style="67" customWidth="1"/>
    <col min="6407" max="6407" width="9.109375" style="67"/>
    <col min="6408" max="6408" width="8.109375" style="67" customWidth="1"/>
    <col min="6409" max="6409" width="7.33203125" style="67" customWidth="1"/>
    <col min="6410" max="6410" width="7.88671875" style="67" customWidth="1"/>
    <col min="6411" max="6411" width="7.109375" style="67" customWidth="1"/>
    <col min="6412" max="6656" width="9.109375" style="67"/>
    <col min="6657" max="6657" width="9" style="67" customWidth="1"/>
    <col min="6658" max="6659" width="7.44140625" style="67" customWidth="1"/>
    <col min="6660" max="6660" width="6" style="67" customWidth="1"/>
    <col min="6661" max="6661" width="10.6640625" style="67" customWidth="1"/>
    <col min="6662" max="6662" width="8.44140625" style="67" customWidth="1"/>
    <col min="6663" max="6663" width="9.109375" style="67"/>
    <col min="6664" max="6664" width="8.109375" style="67" customWidth="1"/>
    <col min="6665" max="6665" width="7.33203125" style="67" customWidth="1"/>
    <col min="6666" max="6666" width="7.88671875" style="67" customWidth="1"/>
    <col min="6667" max="6667" width="7.109375" style="67" customWidth="1"/>
    <col min="6668" max="6912" width="9.109375" style="67"/>
    <col min="6913" max="6913" width="9" style="67" customWidth="1"/>
    <col min="6914" max="6915" width="7.44140625" style="67" customWidth="1"/>
    <col min="6916" max="6916" width="6" style="67" customWidth="1"/>
    <col min="6917" max="6917" width="10.6640625" style="67" customWidth="1"/>
    <col min="6918" max="6918" width="8.44140625" style="67" customWidth="1"/>
    <col min="6919" max="6919" width="9.109375" style="67"/>
    <col min="6920" max="6920" width="8.109375" style="67" customWidth="1"/>
    <col min="6921" max="6921" width="7.33203125" style="67" customWidth="1"/>
    <col min="6922" max="6922" width="7.88671875" style="67" customWidth="1"/>
    <col min="6923" max="6923" width="7.109375" style="67" customWidth="1"/>
    <col min="6924" max="7168" width="9.109375" style="67"/>
    <col min="7169" max="7169" width="9" style="67" customWidth="1"/>
    <col min="7170" max="7171" width="7.44140625" style="67" customWidth="1"/>
    <col min="7172" max="7172" width="6" style="67" customWidth="1"/>
    <col min="7173" max="7173" width="10.6640625" style="67" customWidth="1"/>
    <col min="7174" max="7174" width="8.44140625" style="67" customWidth="1"/>
    <col min="7175" max="7175" width="9.109375" style="67"/>
    <col min="7176" max="7176" width="8.109375" style="67" customWidth="1"/>
    <col min="7177" max="7177" width="7.33203125" style="67" customWidth="1"/>
    <col min="7178" max="7178" width="7.88671875" style="67" customWidth="1"/>
    <col min="7179" max="7179" width="7.109375" style="67" customWidth="1"/>
    <col min="7180" max="7424" width="9.109375" style="67"/>
    <col min="7425" max="7425" width="9" style="67" customWidth="1"/>
    <col min="7426" max="7427" width="7.44140625" style="67" customWidth="1"/>
    <col min="7428" max="7428" width="6" style="67" customWidth="1"/>
    <col min="7429" max="7429" width="10.6640625" style="67" customWidth="1"/>
    <col min="7430" max="7430" width="8.44140625" style="67" customWidth="1"/>
    <col min="7431" max="7431" width="9.109375" style="67"/>
    <col min="7432" max="7432" width="8.109375" style="67" customWidth="1"/>
    <col min="7433" max="7433" width="7.33203125" style="67" customWidth="1"/>
    <col min="7434" max="7434" width="7.88671875" style="67" customWidth="1"/>
    <col min="7435" max="7435" width="7.109375" style="67" customWidth="1"/>
    <col min="7436" max="7680" width="9.109375" style="67"/>
    <col min="7681" max="7681" width="9" style="67" customWidth="1"/>
    <col min="7682" max="7683" width="7.44140625" style="67" customWidth="1"/>
    <col min="7684" max="7684" width="6" style="67" customWidth="1"/>
    <col min="7685" max="7685" width="10.6640625" style="67" customWidth="1"/>
    <col min="7686" max="7686" width="8.44140625" style="67" customWidth="1"/>
    <col min="7687" max="7687" width="9.109375" style="67"/>
    <col min="7688" max="7688" width="8.109375" style="67" customWidth="1"/>
    <col min="7689" max="7689" width="7.33203125" style="67" customWidth="1"/>
    <col min="7690" max="7690" width="7.88671875" style="67" customWidth="1"/>
    <col min="7691" max="7691" width="7.109375" style="67" customWidth="1"/>
    <col min="7692" max="7936" width="9.109375" style="67"/>
    <col min="7937" max="7937" width="9" style="67" customWidth="1"/>
    <col min="7938" max="7939" width="7.44140625" style="67" customWidth="1"/>
    <col min="7940" max="7940" width="6" style="67" customWidth="1"/>
    <col min="7941" max="7941" width="10.6640625" style="67" customWidth="1"/>
    <col min="7942" max="7942" width="8.44140625" style="67" customWidth="1"/>
    <col min="7943" max="7943" width="9.109375" style="67"/>
    <col min="7944" max="7944" width="8.109375" style="67" customWidth="1"/>
    <col min="7945" max="7945" width="7.33203125" style="67" customWidth="1"/>
    <col min="7946" max="7946" width="7.88671875" style="67" customWidth="1"/>
    <col min="7947" max="7947" width="7.109375" style="67" customWidth="1"/>
    <col min="7948" max="8192" width="9.109375" style="67"/>
    <col min="8193" max="8193" width="9" style="67" customWidth="1"/>
    <col min="8194" max="8195" width="7.44140625" style="67" customWidth="1"/>
    <col min="8196" max="8196" width="6" style="67" customWidth="1"/>
    <col min="8197" max="8197" width="10.6640625" style="67" customWidth="1"/>
    <col min="8198" max="8198" width="8.44140625" style="67" customWidth="1"/>
    <col min="8199" max="8199" width="9.109375" style="67"/>
    <col min="8200" max="8200" width="8.109375" style="67" customWidth="1"/>
    <col min="8201" max="8201" width="7.33203125" style="67" customWidth="1"/>
    <col min="8202" max="8202" width="7.88671875" style="67" customWidth="1"/>
    <col min="8203" max="8203" width="7.109375" style="67" customWidth="1"/>
    <col min="8204" max="8448" width="9.109375" style="67"/>
    <col min="8449" max="8449" width="9" style="67" customWidth="1"/>
    <col min="8450" max="8451" width="7.44140625" style="67" customWidth="1"/>
    <col min="8452" max="8452" width="6" style="67" customWidth="1"/>
    <col min="8453" max="8453" width="10.6640625" style="67" customWidth="1"/>
    <col min="8454" max="8454" width="8.44140625" style="67" customWidth="1"/>
    <col min="8455" max="8455" width="9.109375" style="67"/>
    <col min="8456" max="8456" width="8.109375" style="67" customWidth="1"/>
    <col min="8457" max="8457" width="7.33203125" style="67" customWidth="1"/>
    <col min="8458" max="8458" width="7.88671875" style="67" customWidth="1"/>
    <col min="8459" max="8459" width="7.109375" style="67" customWidth="1"/>
    <col min="8460" max="8704" width="9.109375" style="67"/>
    <col min="8705" max="8705" width="9" style="67" customWidth="1"/>
    <col min="8706" max="8707" width="7.44140625" style="67" customWidth="1"/>
    <col min="8708" max="8708" width="6" style="67" customWidth="1"/>
    <col min="8709" max="8709" width="10.6640625" style="67" customWidth="1"/>
    <col min="8710" max="8710" width="8.44140625" style="67" customWidth="1"/>
    <col min="8711" max="8711" width="9.109375" style="67"/>
    <col min="8712" max="8712" width="8.109375" style="67" customWidth="1"/>
    <col min="8713" max="8713" width="7.33203125" style="67" customWidth="1"/>
    <col min="8714" max="8714" width="7.88671875" style="67" customWidth="1"/>
    <col min="8715" max="8715" width="7.109375" style="67" customWidth="1"/>
    <col min="8716" max="8960" width="9.109375" style="67"/>
    <col min="8961" max="8961" width="9" style="67" customWidth="1"/>
    <col min="8962" max="8963" width="7.44140625" style="67" customWidth="1"/>
    <col min="8964" max="8964" width="6" style="67" customWidth="1"/>
    <col min="8965" max="8965" width="10.6640625" style="67" customWidth="1"/>
    <col min="8966" max="8966" width="8.44140625" style="67" customWidth="1"/>
    <col min="8967" max="8967" width="9.109375" style="67"/>
    <col min="8968" max="8968" width="8.109375" style="67" customWidth="1"/>
    <col min="8969" max="8969" width="7.33203125" style="67" customWidth="1"/>
    <col min="8970" max="8970" width="7.88671875" style="67" customWidth="1"/>
    <col min="8971" max="8971" width="7.109375" style="67" customWidth="1"/>
    <col min="8972" max="9216" width="9.109375" style="67"/>
    <col min="9217" max="9217" width="9" style="67" customWidth="1"/>
    <col min="9218" max="9219" width="7.44140625" style="67" customWidth="1"/>
    <col min="9220" max="9220" width="6" style="67" customWidth="1"/>
    <col min="9221" max="9221" width="10.6640625" style="67" customWidth="1"/>
    <col min="9222" max="9222" width="8.44140625" style="67" customWidth="1"/>
    <col min="9223" max="9223" width="9.109375" style="67"/>
    <col min="9224" max="9224" width="8.109375" style="67" customWidth="1"/>
    <col min="9225" max="9225" width="7.33203125" style="67" customWidth="1"/>
    <col min="9226" max="9226" width="7.88671875" style="67" customWidth="1"/>
    <col min="9227" max="9227" width="7.109375" style="67" customWidth="1"/>
    <col min="9228" max="9472" width="9.109375" style="67"/>
    <col min="9473" max="9473" width="9" style="67" customWidth="1"/>
    <col min="9474" max="9475" width="7.44140625" style="67" customWidth="1"/>
    <col min="9476" max="9476" width="6" style="67" customWidth="1"/>
    <col min="9477" max="9477" width="10.6640625" style="67" customWidth="1"/>
    <col min="9478" max="9478" width="8.44140625" style="67" customWidth="1"/>
    <col min="9479" max="9479" width="9.109375" style="67"/>
    <col min="9480" max="9480" width="8.109375" style="67" customWidth="1"/>
    <col min="9481" max="9481" width="7.33203125" style="67" customWidth="1"/>
    <col min="9482" max="9482" width="7.88671875" style="67" customWidth="1"/>
    <col min="9483" max="9483" width="7.109375" style="67" customWidth="1"/>
    <col min="9484" max="9728" width="9.109375" style="67"/>
    <col min="9729" max="9729" width="9" style="67" customWidth="1"/>
    <col min="9730" max="9731" width="7.44140625" style="67" customWidth="1"/>
    <col min="9732" max="9732" width="6" style="67" customWidth="1"/>
    <col min="9733" max="9733" width="10.6640625" style="67" customWidth="1"/>
    <col min="9734" max="9734" width="8.44140625" style="67" customWidth="1"/>
    <col min="9735" max="9735" width="9.109375" style="67"/>
    <col min="9736" max="9736" width="8.109375" style="67" customWidth="1"/>
    <col min="9737" max="9737" width="7.33203125" style="67" customWidth="1"/>
    <col min="9738" max="9738" width="7.88671875" style="67" customWidth="1"/>
    <col min="9739" max="9739" width="7.109375" style="67" customWidth="1"/>
    <col min="9740" max="9984" width="9.109375" style="67"/>
    <col min="9985" max="9985" width="9" style="67" customWidth="1"/>
    <col min="9986" max="9987" width="7.44140625" style="67" customWidth="1"/>
    <col min="9988" max="9988" width="6" style="67" customWidth="1"/>
    <col min="9989" max="9989" width="10.6640625" style="67" customWidth="1"/>
    <col min="9990" max="9990" width="8.44140625" style="67" customWidth="1"/>
    <col min="9991" max="9991" width="9.109375" style="67"/>
    <col min="9992" max="9992" width="8.109375" style="67" customWidth="1"/>
    <col min="9993" max="9993" width="7.33203125" style="67" customWidth="1"/>
    <col min="9994" max="9994" width="7.88671875" style="67" customWidth="1"/>
    <col min="9995" max="9995" width="7.109375" style="67" customWidth="1"/>
    <col min="9996" max="10240" width="9.109375" style="67"/>
    <col min="10241" max="10241" width="9" style="67" customWidth="1"/>
    <col min="10242" max="10243" width="7.44140625" style="67" customWidth="1"/>
    <col min="10244" max="10244" width="6" style="67" customWidth="1"/>
    <col min="10245" max="10245" width="10.6640625" style="67" customWidth="1"/>
    <col min="10246" max="10246" width="8.44140625" style="67" customWidth="1"/>
    <col min="10247" max="10247" width="9.109375" style="67"/>
    <col min="10248" max="10248" width="8.109375" style="67" customWidth="1"/>
    <col min="10249" max="10249" width="7.33203125" style="67" customWidth="1"/>
    <col min="10250" max="10250" width="7.88671875" style="67" customWidth="1"/>
    <col min="10251" max="10251" width="7.109375" style="67" customWidth="1"/>
    <col min="10252" max="10496" width="9.109375" style="67"/>
    <col min="10497" max="10497" width="9" style="67" customWidth="1"/>
    <col min="10498" max="10499" width="7.44140625" style="67" customWidth="1"/>
    <col min="10500" max="10500" width="6" style="67" customWidth="1"/>
    <col min="10501" max="10501" width="10.6640625" style="67" customWidth="1"/>
    <col min="10502" max="10502" width="8.44140625" style="67" customWidth="1"/>
    <col min="10503" max="10503" width="9.109375" style="67"/>
    <col min="10504" max="10504" width="8.109375" style="67" customWidth="1"/>
    <col min="10505" max="10505" width="7.33203125" style="67" customWidth="1"/>
    <col min="10506" max="10506" width="7.88671875" style="67" customWidth="1"/>
    <col min="10507" max="10507" width="7.109375" style="67" customWidth="1"/>
    <col min="10508" max="10752" width="9.109375" style="67"/>
    <col min="10753" max="10753" width="9" style="67" customWidth="1"/>
    <col min="10754" max="10755" width="7.44140625" style="67" customWidth="1"/>
    <col min="10756" max="10756" width="6" style="67" customWidth="1"/>
    <col min="10757" max="10757" width="10.6640625" style="67" customWidth="1"/>
    <col min="10758" max="10758" width="8.44140625" style="67" customWidth="1"/>
    <col min="10759" max="10759" width="9.109375" style="67"/>
    <col min="10760" max="10760" width="8.109375" style="67" customWidth="1"/>
    <col min="10761" max="10761" width="7.33203125" style="67" customWidth="1"/>
    <col min="10762" max="10762" width="7.88671875" style="67" customWidth="1"/>
    <col min="10763" max="10763" width="7.109375" style="67" customWidth="1"/>
    <col min="10764" max="11008" width="9.109375" style="67"/>
    <col min="11009" max="11009" width="9" style="67" customWidth="1"/>
    <col min="11010" max="11011" width="7.44140625" style="67" customWidth="1"/>
    <col min="11012" max="11012" width="6" style="67" customWidth="1"/>
    <col min="11013" max="11013" width="10.6640625" style="67" customWidth="1"/>
    <col min="11014" max="11014" width="8.44140625" style="67" customWidth="1"/>
    <col min="11015" max="11015" width="9.109375" style="67"/>
    <col min="11016" max="11016" width="8.109375" style="67" customWidth="1"/>
    <col min="11017" max="11017" width="7.33203125" style="67" customWidth="1"/>
    <col min="11018" max="11018" width="7.88671875" style="67" customWidth="1"/>
    <col min="11019" max="11019" width="7.109375" style="67" customWidth="1"/>
    <col min="11020" max="11264" width="9.109375" style="67"/>
    <col min="11265" max="11265" width="9" style="67" customWidth="1"/>
    <col min="11266" max="11267" width="7.44140625" style="67" customWidth="1"/>
    <col min="11268" max="11268" width="6" style="67" customWidth="1"/>
    <col min="11269" max="11269" width="10.6640625" style="67" customWidth="1"/>
    <col min="11270" max="11270" width="8.44140625" style="67" customWidth="1"/>
    <col min="11271" max="11271" width="9.109375" style="67"/>
    <col min="11272" max="11272" width="8.109375" style="67" customWidth="1"/>
    <col min="11273" max="11273" width="7.33203125" style="67" customWidth="1"/>
    <col min="11274" max="11274" width="7.88671875" style="67" customWidth="1"/>
    <col min="11275" max="11275" width="7.109375" style="67" customWidth="1"/>
    <col min="11276" max="11520" width="9.109375" style="67"/>
    <col min="11521" max="11521" width="9" style="67" customWidth="1"/>
    <col min="11522" max="11523" width="7.44140625" style="67" customWidth="1"/>
    <col min="11524" max="11524" width="6" style="67" customWidth="1"/>
    <col min="11525" max="11525" width="10.6640625" style="67" customWidth="1"/>
    <col min="11526" max="11526" width="8.44140625" style="67" customWidth="1"/>
    <col min="11527" max="11527" width="9.109375" style="67"/>
    <col min="11528" max="11528" width="8.109375" style="67" customWidth="1"/>
    <col min="11529" max="11529" width="7.33203125" style="67" customWidth="1"/>
    <col min="11530" max="11530" width="7.88671875" style="67" customWidth="1"/>
    <col min="11531" max="11531" width="7.109375" style="67" customWidth="1"/>
    <col min="11532" max="11776" width="9.109375" style="67"/>
    <col min="11777" max="11777" width="9" style="67" customWidth="1"/>
    <col min="11778" max="11779" width="7.44140625" style="67" customWidth="1"/>
    <col min="11780" max="11780" width="6" style="67" customWidth="1"/>
    <col min="11781" max="11781" width="10.6640625" style="67" customWidth="1"/>
    <col min="11782" max="11782" width="8.44140625" style="67" customWidth="1"/>
    <col min="11783" max="11783" width="9.109375" style="67"/>
    <col min="11784" max="11784" width="8.109375" style="67" customWidth="1"/>
    <col min="11785" max="11785" width="7.33203125" style="67" customWidth="1"/>
    <col min="11786" max="11786" width="7.88671875" style="67" customWidth="1"/>
    <col min="11787" max="11787" width="7.109375" style="67" customWidth="1"/>
    <col min="11788" max="12032" width="9.109375" style="67"/>
    <col min="12033" max="12033" width="9" style="67" customWidth="1"/>
    <col min="12034" max="12035" width="7.44140625" style="67" customWidth="1"/>
    <col min="12036" max="12036" width="6" style="67" customWidth="1"/>
    <col min="12037" max="12037" width="10.6640625" style="67" customWidth="1"/>
    <col min="12038" max="12038" width="8.44140625" style="67" customWidth="1"/>
    <col min="12039" max="12039" width="9.109375" style="67"/>
    <col min="12040" max="12040" width="8.109375" style="67" customWidth="1"/>
    <col min="12041" max="12041" width="7.33203125" style="67" customWidth="1"/>
    <col min="12042" max="12042" width="7.88671875" style="67" customWidth="1"/>
    <col min="12043" max="12043" width="7.109375" style="67" customWidth="1"/>
    <col min="12044" max="12288" width="9.109375" style="67"/>
    <col min="12289" max="12289" width="9" style="67" customWidth="1"/>
    <col min="12290" max="12291" width="7.44140625" style="67" customWidth="1"/>
    <col min="12292" max="12292" width="6" style="67" customWidth="1"/>
    <col min="12293" max="12293" width="10.6640625" style="67" customWidth="1"/>
    <col min="12294" max="12294" width="8.44140625" style="67" customWidth="1"/>
    <col min="12295" max="12295" width="9.109375" style="67"/>
    <col min="12296" max="12296" width="8.109375" style="67" customWidth="1"/>
    <col min="12297" max="12297" width="7.33203125" style="67" customWidth="1"/>
    <col min="12298" max="12298" width="7.88671875" style="67" customWidth="1"/>
    <col min="12299" max="12299" width="7.109375" style="67" customWidth="1"/>
    <col min="12300" max="12544" width="9.109375" style="67"/>
    <col min="12545" max="12545" width="9" style="67" customWidth="1"/>
    <col min="12546" max="12547" width="7.44140625" style="67" customWidth="1"/>
    <col min="12548" max="12548" width="6" style="67" customWidth="1"/>
    <col min="12549" max="12549" width="10.6640625" style="67" customWidth="1"/>
    <col min="12550" max="12550" width="8.44140625" style="67" customWidth="1"/>
    <col min="12551" max="12551" width="9.109375" style="67"/>
    <col min="12552" max="12552" width="8.109375" style="67" customWidth="1"/>
    <col min="12553" max="12553" width="7.33203125" style="67" customWidth="1"/>
    <col min="12554" max="12554" width="7.88671875" style="67" customWidth="1"/>
    <col min="12555" max="12555" width="7.109375" style="67" customWidth="1"/>
    <col min="12556" max="12800" width="9.109375" style="67"/>
    <col min="12801" max="12801" width="9" style="67" customWidth="1"/>
    <col min="12802" max="12803" width="7.44140625" style="67" customWidth="1"/>
    <col min="12804" max="12804" width="6" style="67" customWidth="1"/>
    <col min="12805" max="12805" width="10.6640625" style="67" customWidth="1"/>
    <col min="12806" max="12806" width="8.44140625" style="67" customWidth="1"/>
    <col min="12807" max="12807" width="9.109375" style="67"/>
    <col min="12808" max="12808" width="8.109375" style="67" customWidth="1"/>
    <col min="12809" max="12809" width="7.33203125" style="67" customWidth="1"/>
    <col min="12810" max="12810" width="7.88671875" style="67" customWidth="1"/>
    <col min="12811" max="12811" width="7.109375" style="67" customWidth="1"/>
    <col min="12812" max="13056" width="9.109375" style="67"/>
    <col min="13057" max="13057" width="9" style="67" customWidth="1"/>
    <col min="13058" max="13059" width="7.44140625" style="67" customWidth="1"/>
    <col min="13060" max="13060" width="6" style="67" customWidth="1"/>
    <col min="13061" max="13061" width="10.6640625" style="67" customWidth="1"/>
    <col min="13062" max="13062" width="8.44140625" style="67" customWidth="1"/>
    <col min="13063" max="13063" width="9.109375" style="67"/>
    <col min="13064" max="13064" width="8.109375" style="67" customWidth="1"/>
    <col min="13065" max="13065" width="7.33203125" style="67" customWidth="1"/>
    <col min="13066" max="13066" width="7.88671875" style="67" customWidth="1"/>
    <col min="13067" max="13067" width="7.109375" style="67" customWidth="1"/>
    <col min="13068" max="13312" width="9.109375" style="67"/>
    <col min="13313" max="13313" width="9" style="67" customWidth="1"/>
    <col min="13314" max="13315" width="7.44140625" style="67" customWidth="1"/>
    <col min="13316" max="13316" width="6" style="67" customWidth="1"/>
    <col min="13317" max="13317" width="10.6640625" style="67" customWidth="1"/>
    <col min="13318" max="13318" width="8.44140625" style="67" customWidth="1"/>
    <col min="13319" max="13319" width="9.109375" style="67"/>
    <col min="13320" max="13320" width="8.109375" style="67" customWidth="1"/>
    <col min="13321" max="13321" width="7.33203125" style="67" customWidth="1"/>
    <col min="13322" max="13322" width="7.88671875" style="67" customWidth="1"/>
    <col min="13323" max="13323" width="7.109375" style="67" customWidth="1"/>
    <col min="13324" max="13568" width="9.109375" style="67"/>
    <col min="13569" max="13569" width="9" style="67" customWidth="1"/>
    <col min="13570" max="13571" width="7.44140625" style="67" customWidth="1"/>
    <col min="13572" max="13572" width="6" style="67" customWidth="1"/>
    <col min="13573" max="13573" width="10.6640625" style="67" customWidth="1"/>
    <col min="13574" max="13574" width="8.44140625" style="67" customWidth="1"/>
    <col min="13575" max="13575" width="9.109375" style="67"/>
    <col min="13576" max="13576" width="8.109375" style="67" customWidth="1"/>
    <col min="13577" max="13577" width="7.33203125" style="67" customWidth="1"/>
    <col min="13578" max="13578" width="7.88671875" style="67" customWidth="1"/>
    <col min="13579" max="13579" width="7.109375" style="67" customWidth="1"/>
    <col min="13580" max="13824" width="9.109375" style="67"/>
    <col min="13825" max="13825" width="9" style="67" customWidth="1"/>
    <col min="13826" max="13827" width="7.44140625" style="67" customWidth="1"/>
    <col min="13828" max="13828" width="6" style="67" customWidth="1"/>
    <col min="13829" max="13829" width="10.6640625" style="67" customWidth="1"/>
    <col min="13830" max="13830" width="8.44140625" style="67" customWidth="1"/>
    <col min="13831" max="13831" width="9.109375" style="67"/>
    <col min="13832" max="13832" width="8.109375" style="67" customWidth="1"/>
    <col min="13833" max="13833" width="7.33203125" style="67" customWidth="1"/>
    <col min="13834" max="13834" width="7.88671875" style="67" customWidth="1"/>
    <col min="13835" max="13835" width="7.109375" style="67" customWidth="1"/>
    <col min="13836" max="14080" width="9.109375" style="67"/>
    <col min="14081" max="14081" width="9" style="67" customWidth="1"/>
    <col min="14082" max="14083" width="7.44140625" style="67" customWidth="1"/>
    <col min="14084" max="14084" width="6" style="67" customWidth="1"/>
    <col min="14085" max="14085" width="10.6640625" style="67" customWidth="1"/>
    <col min="14086" max="14086" width="8.44140625" style="67" customWidth="1"/>
    <col min="14087" max="14087" width="9.109375" style="67"/>
    <col min="14088" max="14088" width="8.109375" style="67" customWidth="1"/>
    <col min="14089" max="14089" width="7.33203125" style="67" customWidth="1"/>
    <col min="14090" max="14090" width="7.88671875" style="67" customWidth="1"/>
    <col min="14091" max="14091" width="7.109375" style="67" customWidth="1"/>
    <col min="14092" max="14336" width="9.109375" style="67"/>
    <col min="14337" max="14337" width="9" style="67" customWidth="1"/>
    <col min="14338" max="14339" width="7.44140625" style="67" customWidth="1"/>
    <col min="14340" max="14340" width="6" style="67" customWidth="1"/>
    <col min="14341" max="14341" width="10.6640625" style="67" customWidth="1"/>
    <col min="14342" max="14342" width="8.44140625" style="67" customWidth="1"/>
    <col min="14343" max="14343" width="9.109375" style="67"/>
    <col min="14344" max="14344" width="8.109375" style="67" customWidth="1"/>
    <col min="14345" max="14345" width="7.33203125" style="67" customWidth="1"/>
    <col min="14346" max="14346" width="7.88671875" style="67" customWidth="1"/>
    <col min="14347" max="14347" width="7.109375" style="67" customWidth="1"/>
    <col min="14348" max="14592" width="9.109375" style="67"/>
    <col min="14593" max="14593" width="9" style="67" customWidth="1"/>
    <col min="14594" max="14595" width="7.44140625" style="67" customWidth="1"/>
    <col min="14596" max="14596" width="6" style="67" customWidth="1"/>
    <col min="14597" max="14597" width="10.6640625" style="67" customWidth="1"/>
    <col min="14598" max="14598" width="8.44140625" style="67" customWidth="1"/>
    <col min="14599" max="14599" width="9.109375" style="67"/>
    <col min="14600" max="14600" width="8.109375" style="67" customWidth="1"/>
    <col min="14601" max="14601" width="7.33203125" style="67" customWidth="1"/>
    <col min="14602" max="14602" width="7.88671875" style="67" customWidth="1"/>
    <col min="14603" max="14603" width="7.109375" style="67" customWidth="1"/>
    <col min="14604" max="14848" width="9.109375" style="67"/>
    <col min="14849" max="14849" width="9" style="67" customWidth="1"/>
    <col min="14850" max="14851" width="7.44140625" style="67" customWidth="1"/>
    <col min="14852" max="14852" width="6" style="67" customWidth="1"/>
    <col min="14853" max="14853" width="10.6640625" style="67" customWidth="1"/>
    <col min="14854" max="14854" width="8.44140625" style="67" customWidth="1"/>
    <col min="14855" max="14855" width="9.109375" style="67"/>
    <col min="14856" max="14856" width="8.109375" style="67" customWidth="1"/>
    <col min="14857" max="14857" width="7.33203125" style="67" customWidth="1"/>
    <col min="14858" max="14858" width="7.88671875" style="67" customWidth="1"/>
    <col min="14859" max="14859" width="7.109375" style="67" customWidth="1"/>
    <col min="14860" max="15104" width="9.109375" style="67"/>
    <col min="15105" max="15105" width="9" style="67" customWidth="1"/>
    <col min="15106" max="15107" width="7.44140625" style="67" customWidth="1"/>
    <col min="15108" max="15108" width="6" style="67" customWidth="1"/>
    <col min="15109" max="15109" width="10.6640625" style="67" customWidth="1"/>
    <col min="15110" max="15110" width="8.44140625" style="67" customWidth="1"/>
    <col min="15111" max="15111" width="9.109375" style="67"/>
    <col min="15112" max="15112" width="8.109375" style="67" customWidth="1"/>
    <col min="15113" max="15113" width="7.33203125" style="67" customWidth="1"/>
    <col min="15114" max="15114" width="7.88671875" style="67" customWidth="1"/>
    <col min="15115" max="15115" width="7.109375" style="67" customWidth="1"/>
    <col min="15116" max="15360" width="9.109375" style="67"/>
    <col min="15361" max="15361" width="9" style="67" customWidth="1"/>
    <col min="15362" max="15363" width="7.44140625" style="67" customWidth="1"/>
    <col min="15364" max="15364" width="6" style="67" customWidth="1"/>
    <col min="15365" max="15365" width="10.6640625" style="67" customWidth="1"/>
    <col min="15366" max="15366" width="8.44140625" style="67" customWidth="1"/>
    <col min="15367" max="15367" width="9.109375" style="67"/>
    <col min="15368" max="15368" width="8.109375" style="67" customWidth="1"/>
    <col min="15369" max="15369" width="7.33203125" style="67" customWidth="1"/>
    <col min="15370" max="15370" width="7.88671875" style="67" customWidth="1"/>
    <col min="15371" max="15371" width="7.109375" style="67" customWidth="1"/>
    <col min="15372" max="15616" width="9.109375" style="67"/>
    <col min="15617" max="15617" width="9" style="67" customWidth="1"/>
    <col min="15618" max="15619" width="7.44140625" style="67" customWidth="1"/>
    <col min="15620" max="15620" width="6" style="67" customWidth="1"/>
    <col min="15621" max="15621" width="10.6640625" style="67" customWidth="1"/>
    <col min="15622" max="15622" width="8.44140625" style="67" customWidth="1"/>
    <col min="15623" max="15623" width="9.109375" style="67"/>
    <col min="15624" max="15624" width="8.109375" style="67" customWidth="1"/>
    <col min="15625" max="15625" width="7.33203125" style="67" customWidth="1"/>
    <col min="15626" max="15626" width="7.88671875" style="67" customWidth="1"/>
    <col min="15627" max="15627" width="7.109375" style="67" customWidth="1"/>
    <col min="15628" max="15872" width="9.109375" style="67"/>
    <col min="15873" max="15873" width="9" style="67" customWidth="1"/>
    <col min="15874" max="15875" width="7.44140625" style="67" customWidth="1"/>
    <col min="15876" max="15876" width="6" style="67" customWidth="1"/>
    <col min="15877" max="15877" width="10.6640625" style="67" customWidth="1"/>
    <col min="15878" max="15878" width="8.44140625" style="67" customWidth="1"/>
    <col min="15879" max="15879" width="9.109375" style="67"/>
    <col min="15880" max="15880" width="8.109375" style="67" customWidth="1"/>
    <col min="15881" max="15881" width="7.33203125" style="67" customWidth="1"/>
    <col min="15882" max="15882" width="7.88671875" style="67" customWidth="1"/>
    <col min="15883" max="15883" width="7.109375" style="67" customWidth="1"/>
    <col min="15884" max="16128" width="9.109375" style="67"/>
    <col min="16129" max="16129" width="9" style="67" customWidth="1"/>
    <col min="16130" max="16131" width="7.44140625" style="67" customWidth="1"/>
    <col min="16132" max="16132" width="6" style="67" customWidth="1"/>
    <col min="16133" max="16133" width="10.6640625" style="67" customWidth="1"/>
    <col min="16134" max="16134" width="8.44140625" style="67" customWidth="1"/>
    <col min="16135" max="16135" width="9.109375" style="67"/>
    <col min="16136" max="16136" width="8.109375" style="67" customWidth="1"/>
    <col min="16137" max="16137" width="7.33203125" style="67" customWidth="1"/>
    <col min="16138" max="16138" width="7.88671875" style="67" customWidth="1"/>
    <col min="16139" max="16139" width="7.109375" style="67" customWidth="1"/>
    <col min="16140" max="16384" width="9.109375" style="67"/>
  </cols>
  <sheetData>
    <row r="1" spans="1:17" ht="13.8" thickBot="1" x14ac:dyDescent="0.3"/>
    <row r="2" spans="1:17" ht="13.8" thickBot="1" x14ac:dyDescent="0.3">
      <c r="A2" s="68" t="s">
        <v>141</v>
      </c>
      <c r="B2" s="69"/>
      <c r="C2" s="69"/>
      <c r="D2" s="69"/>
      <c r="E2" s="69" t="s">
        <v>91</v>
      </c>
      <c r="F2" s="70">
        <v>2023</v>
      </c>
    </row>
    <row r="3" spans="1:17" ht="13.8" thickBot="1" x14ac:dyDescent="0.3">
      <c r="A3" s="71"/>
      <c r="E3" s="71"/>
    </row>
    <row r="4" spans="1:17" x14ac:dyDescent="0.25">
      <c r="A4" s="72"/>
      <c r="B4" s="73"/>
      <c r="C4" s="151" t="s">
        <v>142</v>
      </c>
      <c r="D4" s="151"/>
      <c r="E4" s="151" t="s">
        <v>143</v>
      </c>
      <c r="F4" s="151"/>
      <c r="G4" s="151" t="s">
        <v>144</v>
      </c>
      <c r="H4" s="151"/>
      <c r="I4" s="74"/>
      <c r="J4" s="75" t="s">
        <v>145</v>
      </c>
      <c r="K4" s="76"/>
      <c r="L4" s="76" t="s">
        <v>142</v>
      </c>
      <c r="M4" s="76"/>
      <c r="N4" s="76" t="s">
        <v>143</v>
      </c>
      <c r="O4" s="76"/>
      <c r="P4" s="76" t="s">
        <v>144</v>
      </c>
      <c r="Q4" s="76"/>
    </row>
    <row r="5" spans="1:17" x14ac:dyDescent="0.25">
      <c r="A5" s="75"/>
      <c r="B5" s="77" t="s">
        <v>146</v>
      </c>
      <c r="C5" s="77" t="s">
        <v>147</v>
      </c>
      <c r="D5" s="77" t="s">
        <v>148</v>
      </c>
      <c r="E5" s="77" t="s">
        <v>147</v>
      </c>
      <c r="F5" s="77" t="s">
        <v>148</v>
      </c>
      <c r="G5" s="77" t="s">
        <v>147</v>
      </c>
      <c r="H5" s="78" t="s">
        <v>148</v>
      </c>
      <c r="I5" s="74"/>
      <c r="J5" s="75"/>
      <c r="K5" s="76" t="s">
        <v>146</v>
      </c>
      <c r="L5" s="76" t="s">
        <v>147</v>
      </c>
      <c r="M5" s="76" t="s">
        <v>148</v>
      </c>
      <c r="N5" s="76" t="s">
        <v>147</v>
      </c>
      <c r="O5" s="76" t="s">
        <v>148</v>
      </c>
      <c r="P5" s="76" t="s">
        <v>147</v>
      </c>
      <c r="Q5" s="76" t="s">
        <v>148</v>
      </c>
    </row>
    <row r="6" spans="1:17" x14ac:dyDescent="0.25">
      <c r="A6" s="75" t="s">
        <v>149</v>
      </c>
      <c r="B6" s="79">
        <f>E19*60*60*24*365/1000</f>
        <v>1813.3199999999997</v>
      </c>
      <c r="C6" s="75">
        <v>9</v>
      </c>
      <c r="D6" s="75">
        <f>B6*C6/1000000</f>
        <v>1.6319879999999998E-2</v>
      </c>
      <c r="E6" s="75">
        <v>61.9</v>
      </c>
      <c r="F6" s="80">
        <f>B6*E6/1000000</f>
        <v>0.11224450799999998</v>
      </c>
      <c r="G6" s="75">
        <v>11</v>
      </c>
      <c r="H6" s="81">
        <f>B6*G6/1000000</f>
        <v>1.9946519999999995E-2</v>
      </c>
      <c r="I6" s="72"/>
      <c r="J6" s="75" t="s">
        <v>149</v>
      </c>
      <c r="K6" s="76">
        <v>1930</v>
      </c>
      <c r="L6" s="76">
        <v>30</v>
      </c>
      <c r="M6" s="76">
        <v>0.08</v>
      </c>
      <c r="N6" s="76">
        <v>125</v>
      </c>
      <c r="O6" s="76">
        <v>0.24</v>
      </c>
      <c r="P6" s="76">
        <v>35</v>
      </c>
      <c r="Q6" s="76">
        <v>7.0000000000000007E-2</v>
      </c>
    </row>
    <row r="7" spans="1:17" x14ac:dyDescent="0.25">
      <c r="A7" s="75" t="s">
        <v>150</v>
      </c>
      <c r="B7" s="79">
        <f>E27*60*60*24*365/1000</f>
        <v>614.95199999999988</v>
      </c>
      <c r="C7" s="75">
        <v>7.9</v>
      </c>
      <c r="D7" s="75">
        <f>B7*C7/1000000</f>
        <v>4.8581207999999999E-3</v>
      </c>
      <c r="E7" s="75">
        <v>66.400000000000006</v>
      </c>
      <c r="F7" s="80">
        <f>B7*E7/1000000</f>
        <v>4.0832812799999993E-2</v>
      </c>
      <c r="G7" s="75">
        <v>22</v>
      </c>
      <c r="H7" s="81">
        <f>B7*G7/1000000</f>
        <v>1.3528943999999998E-2</v>
      </c>
      <c r="I7" s="82"/>
      <c r="J7" s="75" t="s">
        <v>150</v>
      </c>
      <c r="K7" s="76">
        <v>790</v>
      </c>
      <c r="L7" s="76">
        <v>30</v>
      </c>
      <c r="M7" s="76">
        <v>0.02</v>
      </c>
      <c r="N7" s="76">
        <v>125</v>
      </c>
      <c r="O7" s="76">
        <v>0.09</v>
      </c>
      <c r="P7" s="76">
        <v>35</v>
      </c>
      <c r="Q7" s="76">
        <v>0.02</v>
      </c>
    </row>
    <row r="8" spans="1:17" x14ac:dyDescent="0.25">
      <c r="A8" s="75" t="s">
        <v>151</v>
      </c>
      <c r="B8" s="79">
        <f>E35*60*60*24*365/1000</f>
        <v>575.53200000000015</v>
      </c>
      <c r="C8" s="75">
        <v>4.4000000000000004</v>
      </c>
      <c r="D8" s="75">
        <f>B8*C8/1000000</f>
        <v>2.5323408000000008E-3</v>
      </c>
      <c r="E8" s="75">
        <v>28.9</v>
      </c>
      <c r="F8" s="80">
        <f>B8*E8/1000000</f>
        <v>1.6632874800000006E-2</v>
      </c>
      <c r="G8" s="75">
        <v>17</v>
      </c>
      <c r="H8" s="81">
        <f>B8*G8/1000000</f>
        <v>9.7840440000000022E-3</v>
      </c>
      <c r="I8" s="82"/>
      <c r="J8" s="75" t="s">
        <v>151</v>
      </c>
      <c r="K8" s="76">
        <v>790</v>
      </c>
      <c r="L8" s="76">
        <v>30</v>
      </c>
      <c r="M8" s="76">
        <v>0.02</v>
      </c>
      <c r="N8" s="76">
        <v>125</v>
      </c>
      <c r="O8" s="76">
        <v>0.09</v>
      </c>
      <c r="P8" s="76">
        <v>35</v>
      </c>
      <c r="Q8" s="76">
        <v>0.02</v>
      </c>
    </row>
    <row r="9" spans="1:17" x14ac:dyDescent="0.25">
      <c r="A9" s="75" t="s">
        <v>152</v>
      </c>
      <c r="B9" s="79">
        <f>N19*60*60*24*365/1000</f>
        <v>5755.3200000000006</v>
      </c>
      <c r="C9" s="75">
        <v>9.4</v>
      </c>
      <c r="D9" s="75">
        <f>B9*C9/1000000</f>
        <v>5.4100008000000012E-2</v>
      </c>
      <c r="E9" s="75">
        <v>37.1</v>
      </c>
      <c r="F9" s="80">
        <f>B9*E9/1000000</f>
        <v>0.21352237200000004</v>
      </c>
      <c r="G9" s="75">
        <v>16</v>
      </c>
      <c r="H9" s="81">
        <f>B9*G9/1000000</f>
        <v>9.2085120000000006E-2</v>
      </c>
      <c r="I9" s="82"/>
      <c r="J9" s="75" t="s">
        <v>152</v>
      </c>
      <c r="K9" s="76">
        <v>6420</v>
      </c>
      <c r="L9" s="76">
        <v>30</v>
      </c>
      <c r="M9" s="76">
        <v>0.19</v>
      </c>
      <c r="N9" s="76">
        <v>125</v>
      </c>
      <c r="O9" s="76">
        <v>0.8</v>
      </c>
      <c r="P9" s="76">
        <v>35</v>
      </c>
      <c r="Q9" s="76">
        <v>0.22</v>
      </c>
    </row>
    <row r="10" spans="1:17" ht="13.8" thickBot="1" x14ac:dyDescent="0.3">
      <c r="A10" s="83" t="s">
        <v>153</v>
      </c>
      <c r="B10" s="79">
        <f>N27*60*60*24*365/1000</f>
        <v>1292.9759999999997</v>
      </c>
      <c r="C10" s="83">
        <v>2.6</v>
      </c>
      <c r="D10" s="83">
        <f>B10*C10/1000000</f>
        <v>3.361737599999999E-3</v>
      </c>
      <c r="E10" s="83">
        <v>38.6</v>
      </c>
      <c r="F10" s="84">
        <f>B10*E10/1000000</f>
        <v>4.9908873599999994E-2</v>
      </c>
      <c r="G10" s="83">
        <v>7</v>
      </c>
      <c r="H10" s="85">
        <f>B10*G10/1000000</f>
        <v>9.0508319999999982E-3</v>
      </c>
      <c r="I10" s="72"/>
      <c r="J10" s="86" t="s">
        <v>153</v>
      </c>
      <c r="K10" s="76">
        <v>1930</v>
      </c>
      <c r="L10" s="76">
        <v>30</v>
      </c>
      <c r="M10" s="76">
        <v>0.08</v>
      </c>
      <c r="N10" s="76">
        <v>125</v>
      </c>
      <c r="O10" s="76">
        <v>0.24</v>
      </c>
      <c r="P10" s="76">
        <v>35</v>
      </c>
      <c r="Q10" s="76">
        <v>7.0000000000000007E-2</v>
      </c>
    </row>
    <row r="11" spans="1:17" ht="13.8" thickBot="1" x14ac:dyDescent="0.3">
      <c r="A11" s="87" t="s">
        <v>73</v>
      </c>
      <c r="B11" s="88">
        <f>SUM(B6:B10)</f>
        <v>10052.099999999999</v>
      </c>
      <c r="C11" s="89">
        <f>D11*1000000/B11</f>
        <v>8.0751372549019624</v>
      </c>
      <c r="D11" s="90">
        <f>SUM(D6:D10)</f>
        <v>8.1172087200000007E-2</v>
      </c>
      <c r="E11" s="89">
        <f>F11*1000000/B11</f>
        <v>43.089647058823545</v>
      </c>
      <c r="F11" s="91">
        <f>SUM(F6:F10)</f>
        <v>0.43314144120000003</v>
      </c>
      <c r="G11" s="88">
        <f>H11*1000000/B11</f>
        <v>14.364705882352945</v>
      </c>
      <c r="H11" s="92">
        <f>SUM(H6:H10)</f>
        <v>0.14439546000000003</v>
      </c>
      <c r="I11" s="72"/>
      <c r="J11" s="75" t="s">
        <v>73</v>
      </c>
      <c r="K11" s="76">
        <f>SUM(K6:K10)</f>
        <v>11860</v>
      </c>
      <c r="L11" s="76"/>
      <c r="M11" s="76">
        <f>SUM(M6:M10)</f>
        <v>0.39</v>
      </c>
      <c r="N11" s="76"/>
      <c r="O11" s="76">
        <f>SUM(O6:O10)</f>
        <v>1.46</v>
      </c>
      <c r="P11" s="76"/>
      <c r="Q11" s="76">
        <f>SUM(Q6:Q10)</f>
        <v>0.4</v>
      </c>
    </row>
    <row r="12" spans="1:17" ht="13.8" thickBot="1" x14ac:dyDescent="0.3">
      <c r="A12" s="72"/>
      <c r="B12" s="72"/>
      <c r="C12" s="72"/>
      <c r="D12" s="72"/>
      <c r="E12" s="93"/>
      <c r="F12" s="72"/>
      <c r="G12" s="72"/>
      <c r="H12" s="72"/>
      <c r="I12" s="72"/>
    </row>
    <row r="13" spans="1:17" ht="13.8" x14ac:dyDescent="0.25">
      <c r="A13" s="94" t="s">
        <v>154</v>
      </c>
      <c r="B13" s="73" t="s">
        <v>143</v>
      </c>
      <c r="C13" s="73" t="s">
        <v>142</v>
      </c>
      <c r="D13" s="73" t="s">
        <v>144</v>
      </c>
      <c r="E13" s="74" t="s">
        <v>155</v>
      </c>
      <c r="J13" s="94" t="s">
        <v>156</v>
      </c>
      <c r="K13" s="73" t="s">
        <v>143</v>
      </c>
      <c r="L13" s="73" t="s">
        <v>142</v>
      </c>
      <c r="M13" s="73" t="s">
        <v>144</v>
      </c>
      <c r="N13" s="74" t="s">
        <v>155</v>
      </c>
    </row>
    <row r="14" spans="1:17" ht="13.8" x14ac:dyDescent="0.25">
      <c r="A14" s="95"/>
      <c r="B14" s="148" t="s">
        <v>157</v>
      </c>
      <c r="C14" s="149"/>
      <c r="D14" s="150"/>
      <c r="E14" s="78" t="s">
        <v>158</v>
      </c>
      <c r="J14" s="95"/>
      <c r="K14" s="148" t="s">
        <v>157</v>
      </c>
      <c r="L14" s="149"/>
      <c r="M14" s="150"/>
      <c r="N14" s="78" t="s">
        <v>158</v>
      </c>
    </row>
    <row r="15" spans="1:17" x14ac:dyDescent="0.25">
      <c r="A15" s="75" t="s">
        <v>159</v>
      </c>
      <c r="B15" s="75">
        <v>105</v>
      </c>
      <c r="C15" s="75">
        <v>16.100000000000001</v>
      </c>
      <c r="D15" s="75">
        <v>13</v>
      </c>
      <c r="E15" s="97">
        <v>0.06</v>
      </c>
      <c r="J15" s="75" t="s">
        <v>159</v>
      </c>
      <c r="K15" s="75">
        <v>43.4</v>
      </c>
      <c r="L15" s="75">
        <v>5.2</v>
      </c>
      <c r="M15" s="75">
        <v>12</v>
      </c>
      <c r="N15" s="97">
        <v>0.2</v>
      </c>
    </row>
    <row r="16" spans="1:17" x14ac:dyDescent="0.25">
      <c r="A16" s="98" t="s">
        <v>160</v>
      </c>
      <c r="B16" s="75">
        <v>79.099999999999994</v>
      </c>
      <c r="C16" s="75">
        <v>3.2</v>
      </c>
      <c r="D16" s="75">
        <v>5</v>
      </c>
      <c r="E16" s="97">
        <v>0.05</v>
      </c>
      <c r="J16" s="98" t="s">
        <v>160</v>
      </c>
      <c r="K16" s="75">
        <v>52.9</v>
      </c>
      <c r="L16" s="75">
        <v>12.6</v>
      </c>
      <c r="M16" s="75">
        <v>29</v>
      </c>
      <c r="N16" s="97">
        <v>0.18</v>
      </c>
    </row>
    <row r="17" spans="1:14" x14ac:dyDescent="0.25">
      <c r="A17" s="99" t="s">
        <v>161</v>
      </c>
      <c r="B17" s="75">
        <v>42.2</v>
      </c>
      <c r="C17" s="75">
        <v>4.5</v>
      </c>
      <c r="D17" s="75">
        <v>11</v>
      </c>
      <c r="E17" s="97">
        <v>7.0000000000000007E-2</v>
      </c>
      <c r="J17" s="99" t="s">
        <v>161</v>
      </c>
      <c r="K17" s="75">
        <v>31.3</v>
      </c>
      <c r="L17" s="75">
        <v>6.2</v>
      </c>
      <c r="M17" s="75">
        <v>14</v>
      </c>
      <c r="N17" s="97">
        <v>0.19</v>
      </c>
    </row>
    <row r="18" spans="1:14" x14ac:dyDescent="0.25">
      <c r="A18" s="99" t="s">
        <v>162</v>
      </c>
      <c r="B18" s="75">
        <v>21.4</v>
      </c>
      <c r="C18" s="75">
        <v>12.3</v>
      </c>
      <c r="D18" s="75">
        <v>14</v>
      </c>
      <c r="E18" s="97">
        <v>0.05</v>
      </c>
      <c r="J18" s="99" t="s">
        <v>162</v>
      </c>
      <c r="K18" s="75">
        <v>20.6</v>
      </c>
      <c r="L18" s="75">
        <v>13.6</v>
      </c>
      <c r="M18" s="75">
        <v>10</v>
      </c>
      <c r="N18" s="72">
        <v>0.16</v>
      </c>
    </row>
    <row r="19" spans="1:14" x14ac:dyDescent="0.25">
      <c r="A19" s="77" t="s">
        <v>147</v>
      </c>
      <c r="B19" s="100">
        <f t="shared" ref="B19:E19" si="0">AVERAGE(B15:B18)</f>
        <v>61.925000000000004</v>
      </c>
      <c r="C19" s="100">
        <f t="shared" si="0"/>
        <v>9.0250000000000004</v>
      </c>
      <c r="D19" s="79">
        <f t="shared" si="0"/>
        <v>10.75</v>
      </c>
      <c r="E19" s="81">
        <f t="shared" si="0"/>
        <v>5.7499999999999996E-2</v>
      </c>
      <c r="J19" s="77" t="s">
        <v>147</v>
      </c>
      <c r="K19" s="100">
        <f t="shared" ref="K19:N19" si="1">AVERAGE(K15:K18)</f>
        <v>37.049999999999997</v>
      </c>
      <c r="L19" s="100">
        <f t="shared" si="1"/>
        <v>9.4</v>
      </c>
      <c r="M19" s="79">
        <f t="shared" si="1"/>
        <v>16.25</v>
      </c>
      <c r="N19" s="101">
        <f t="shared" si="1"/>
        <v>0.18250000000000002</v>
      </c>
    </row>
    <row r="20" spans="1:14" ht="13.8" thickBot="1" x14ac:dyDescent="0.3">
      <c r="E20" s="102"/>
      <c r="J20" s="72"/>
    </row>
    <row r="21" spans="1:14" ht="13.8" x14ac:dyDescent="0.25">
      <c r="A21" s="94" t="s">
        <v>163</v>
      </c>
      <c r="B21" s="73" t="s">
        <v>143</v>
      </c>
      <c r="C21" s="73" t="s">
        <v>142</v>
      </c>
      <c r="D21" s="73" t="s">
        <v>144</v>
      </c>
      <c r="E21" s="74" t="s">
        <v>155</v>
      </c>
      <c r="J21" s="94" t="s">
        <v>153</v>
      </c>
      <c r="K21" s="73" t="s">
        <v>143</v>
      </c>
      <c r="L21" s="73" t="s">
        <v>142</v>
      </c>
      <c r="M21" s="73" t="s">
        <v>144</v>
      </c>
      <c r="N21" s="74" t="s">
        <v>155</v>
      </c>
    </row>
    <row r="22" spans="1:14" ht="13.8" x14ac:dyDescent="0.25">
      <c r="A22" s="95"/>
      <c r="B22" s="148" t="s">
        <v>157</v>
      </c>
      <c r="C22" s="149"/>
      <c r="D22" s="150"/>
      <c r="E22" s="78" t="s">
        <v>158</v>
      </c>
      <c r="J22" s="95"/>
      <c r="K22" s="148" t="s">
        <v>157</v>
      </c>
      <c r="L22" s="149"/>
      <c r="M22" s="150"/>
      <c r="N22" s="78" t="s">
        <v>158</v>
      </c>
    </row>
    <row r="23" spans="1:14" x14ac:dyDescent="0.25">
      <c r="A23" s="75" t="s">
        <v>159</v>
      </c>
      <c r="B23" s="75">
        <v>43.1</v>
      </c>
      <c r="C23" s="75">
        <v>7</v>
      </c>
      <c r="D23" s="75">
        <v>8</v>
      </c>
      <c r="E23" s="97">
        <v>2.8000000000000001E-2</v>
      </c>
      <c r="J23" s="75" t="s">
        <v>159</v>
      </c>
      <c r="K23" s="75">
        <v>22.3</v>
      </c>
      <c r="L23" s="75">
        <v>3.9</v>
      </c>
      <c r="M23" s="75">
        <v>10</v>
      </c>
      <c r="N23" s="97">
        <v>3.7999999999999999E-2</v>
      </c>
    </row>
    <row r="24" spans="1:14" x14ac:dyDescent="0.25">
      <c r="A24" s="98" t="s">
        <v>160</v>
      </c>
      <c r="B24" s="75">
        <v>63.9</v>
      </c>
      <c r="C24" s="75">
        <v>1.5</v>
      </c>
      <c r="D24" s="75">
        <v>11</v>
      </c>
      <c r="E24" s="97">
        <v>0.02</v>
      </c>
      <c r="J24" s="98" t="s">
        <v>160</v>
      </c>
      <c r="K24" s="75">
        <v>85.4</v>
      </c>
      <c r="L24" s="75">
        <v>2</v>
      </c>
      <c r="M24" s="75">
        <v>5</v>
      </c>
      <c r="N24" s="97">
        <v>3.3000000000000002E-2</v>
      </c>
    </row>
    <row r="25" spans="1:14" x14ac:dyDescent="0.25">
      <c r="A25" s="99" t="s">
        <v>161</v>
      </c>
      <c r="B25" s="103">
        <v>41.7</v>
      </c>
      <c r="C25" s="103">
        <v>1.5</v>
      </c>
      <c r="D25" s="103">
        <v>39</v>
      </c>
      <c r="E25" s="104">
        <v>0.02</v>
      </c>
      <c r="J25" s="99" t="s">
        <v>161</v>
      </c>
      <c r="K25" s="75">
        <v>28.7</v>
      </c>
      <c r="L25" s="75">
        <v>2.2999999999999998</v>
      </c>
      <c r="M25" s="75">
        <v>9</v>
      </c>
      <c r="N25" s="97">
        <v>0.05</v>
      </c>
    </row>
    <row r="26" spans="1:14" x14ac:dyDescent="0.25">
      <c r="A26" s="99" t="s">
        <v>162</v>
      </c>
      <c r="B26" s="75">
        <v>117</v>
      </c>
      <c r="C26" s="75">
        <v>21.4</v>
      </c>
      <c r="D26" s="75">
        <v>29</v>
      </c>
      <c r="E26" s="97">
        <v>0.01</v>
      </c>
      <c r="J26" s="99" t="s">
        <v>162</v>
      </c>
      <c r="K26" s="75">
        <v>18</v>
      </c>
      <c r="L26" s="75">
        <v>2.2000000000000002</v>
      </c>
      <c r="M26" s="75">
        <v>3</v>
      </c>
      <c r="N26" s="97">
        <v>4.2999999999999997E-2</v>
      </c>
    </row>
    <row r="27" spans="1:14" x14ac:dyDescent="0.25">
      <c r="A27" s="77" t="s">
        <v>147</v>
      </c>
      <c r="B27" s="100">
        <f t="shared" ref="B27:E27" si="2">AVERAGE(B23:B26)</f>
        <v>66.424999999999997</v>
      </c>
      <c r="C27" s="100">
        <f t="shared" si="2"/>
        <v>7.85</v>
      </c>
      <c r="D27" s="79">
        <f t="shared" si="2"/>
        <v>21.75</v>
      </c>
      <c r="E27" s="81">
        <f t="shared" si="2"/>
        <v>1.95E-2</v>
      </c>
      <c r="J27" s="77" t="s">
        <v>147</v>
      </c>
      <c r="K27" s="100">
        <f t="shared" ref="K27:N27" si="3">AVERAGE(K23:K26)</f>
        <v>38.6</v>
      </c>
      <c r="L27" s="100">
        <f t="shared" si="3"/>
        <v>2.5999999999999996</v>
      </c>
      <c r="M27" s="79">
        <f t="shared" si="3"/>
        <v>6.75</v>
      </c>
      <c r="N27" s="81">
        <f t="shared" si="3"/>
        <v>4.1000000000000002E-2</v>
      </c>
    </row>
    <row r="28" spans="1:14" ht="13.8" thickBot="1" x14ac:dyDescent="0.3">
      <c r="E28" s="102"/>
      <c r="I28" s="74"/>
      <c r="J28" s="74"/>
      <c r="K28" s="74"/>
    </row>
    <row r="29" spans="1:14" ht="13.8" x14ac:dyDescent="0.25">
      <c r="A29" s="94" t="s">
        <v>164</v>
      </c>
      <c r="B29" s="73" t="s">
        <v>143</v>
      </c>
      <c r="C29" s="73" t="s">
        <v>142</v>
      </c>
      <c r="D29" s="73" t="s">
        <v>144</v>
      </c>
      <c r="E29" s="74" t="s">
        <v>155</v>
      </c>
    </row>
    <row r="30" spans="1:14" ht="13.8" x14ac:dyDescent="0.25">
      <c r="A30" s="95"/>
      <c r="B30" s="148" t="s">
        <v>157</v>
      </c>
      <c r="C30" s="149"/>
      <c r="D30" s="150"/>
      <c r="E30" s="78" t="s">
        <v>158</v>
      </c>
      <c r="I30" s="105"/>
      <c r="J30" s="105"/>
      <c r="K30" s="82"/>
      <c r="L30" s="106"/>
    </row>
    <row r="31" spans="1:14" x14ac:dyDescent="0.25">
      <c r="A31" s="75" t="s">
        <v>159</v>
      </c>
      <c r="B31" s="76">
        <v>25</v>
      </c>
      <c r="C31" s="76">
        <v>3.1</v>
      </c>
      <c r="D31" s="76">
        <v>6</v>
      </c>
      <c r="E31" s="107">
        <v>2.5999999999999999E-2</v>
      </c>
      <c r="I31" s="72"/>
      <c r="J31" s="72"/>
      <c r="K31" s="72"/>
      <c r="L31" s="72"/>
    </row>
    <row r="32" spans="1:14" x14ac:dyDescent="0.25">
      <c r="A32" s="98" t="s">
        <v>160</v>
      </c>
      <c r="B32" s="76">
        <v>38.4</v>
      </c>
      <c r="C32" s="76">
        <v>3.7</v>
      </c>
      <c r="D32" s="76">
        <v>17</v>
      </c>
      <c r="E32" s="107">
        <v>1.7999999999999999E-2</v>
      </c>
      <c r="I32" s="74"/>
      <c r="J32" s="74"/>
      <c r="K32" s="74"/>
      <c r="L32" s="74"/>
    </row>
    <row r="33" spans="1:12" x14ac:dyDescent="0.25">
      <c r="A33" s="99" t="s">
        <v>161</v>
      </c>
      <c r="B33" s="76">
        <v>24.4</v>
      </c>
      <c r="C33" s="76">
        <v>3.7</v>
      </c>
      <c r="D33" s="76">
        <v>15</v>
      </c>
      <c r="E33" s="107">
        <v>1.0999999999999999E-2</v>
      </c>
      <c r="I33" s="74"/>
      <c r="J33" s="74"/>
      <c r="K33" s="74"/>
    </row>
    <row r="34" spans="1:12" x14ac:dyDescent="0.25">
      <c r="A34" s="99" t="s">
        <v>162</v>
      </c>
      <c r="B34" s="76">
        <v>27.8</v>
      </c>
      <c r="C34" s="76">
        <v>6.9</v>
      </c>
      <c r="D34" s="76">
        <v>30</v>
      </c>
      <c r="E34" s="107">
        <v>1.7999999999999999E-2</v>
      </c>
    </row>
    <row r="35" spans="1:12" x14ac:dyDescent="0.25">
      <c r="A35" s="77" t="s">
        <v>147</v>
      </c>
      <c r="B35" s="100">
        <f t="shared" ref="B35:E35" si="4">AVERAGE(B31:B34)</f>
        <v>28.9</v>
      </c>
      <c r="C35" s="100">
        <f t="shared" si="4"/>
        <v>4.3499999999999996</v>
      </c>
      <c r="D35" s="79">
        <f t="shared" si="4"/>
        <v>17</v>
      </c>
      <c r="E35" s="81">
        <f t="shared" si="4"/>
        <v>1.8249999999999999E-2</v>
      </c>
      <c r="I35" s="105"/>
      <c r="J35" s="105"/>
      <c r="K35" s="82"/>
      <c r="L35" s="106"/>
    </row>
    <row r="36" spans="1:12" x14ac:dyDescent="0.25">
      <c r="E36" s="108"/>
      <c r="H36" s="72"/>
      <c r="I36" s="72"/>
      <c r="J36" s="72"/>
      <c r="K36" s="72"/>
      <c r="L36" s="72"/>
    </row>
    <row r="37" spans="1:12" ht="13.8" x14ac:dyDescent="0.25">
      <c r="H37" s="109"/>
      <c r="I37" s="74"/>
      <c r="J37" s="74"/>
      <c r="K37" s="74"/>
      <c r="L37" s="74"/>
    </row>
    <row r="38" spans="1:12" ht="13.8" x14ac:dyDescent="0.25">
      <c r="H38" s="109"/>
      <c r="I38" s="74"/>
      <c r="J38" s="74"/>
      <c r="K38" s="74"/>
      <c r="L38" s="74"/>
    </row>
    <row r="39" spans="1:12" ht="13.8" x14ac:dyDescent="0.25">
      <c r="H39" s="110"/>
    </row>
    <row r="40" spans="1:12" x14ac:dyDescent="0.25">
      <c r="H40" s="74"/>
      <c r="I40" s="105"/>
      <c r="J40" s="105"/>
      <c r="K40" s="82"/>
      <c r="L40" s="105"/>
    </row>
  </sheetData>
  <mergeCells count="8">
    <mergeCell ref="K14:M14"/>
    <mergeCell ref="B22:D22"/>
    <mergeCell ref="K22:M22"/>
    <mergeCell ref="B30:D30"/>
    <mergeCell ref="C4:D4"/>
    <mergeCell ref="E4:F4"/>
    <mergeCell ref="G4:H4"/>
    <mergeCell ref="B14:D14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0625-199E-4966-A4FC-93F3C37683E5}">
  <dimension ref="A1:O36"/>
  <sheetViews>
    <sheetView workbookViewId="0">
      <selection activeCell="B11" sqref="B11"/>
    </sheetView>
  </sheetViews>
  <sheetFormatPr defaultRowHeight="13.2" x14ac:dyDescent="0.25"/>
  <cols>
    <col min="1" max="1" width="9" style="67" customWidth="1"/>
    <col min="2" max="2" width="8.44140625" style="67" customWidth="1"/>
    <col min="3" max="3" width="7.44140625" style="67" customWidth="1"/>
    <col min="4" max="4" width="6" style="67" customWidth="1"/>
    <col min="5" max="5" width="9.88671875" style="67" customWidth="1"/>
    <col min="6" max="6" width="8.44140625" style="67" customWidth="1"/>
    <col min="7" max="7" width="7.5546875" style="67" customWidth="1"/>
    <col min="8" max="8" width="7.109375" style="67" customWidth="1"/>
    <col min="9" max="10" width="8.5546875" style="67" customWidth="1"/>
    <col min="11" max="11" width="7.109375" style="67" customWidth="1"/>
    <col min="12" max="256" width="9.109375" style="67"/>
    <col min="257" max="257" width="9" style="67" customWidth="1"/>
    <col min="258" max="258" width="8.44140625" style="67" customWidth="1"/>
    <col min="259" max="259" width="7.44140625" style="67" customWidth="1"/>
    <col min="260" max="260" width="6" style="67" customWidth="1"/>
    <col min="261" max="261" width="9.88671875" style="67" customWidth="1"/>
    <col min="262" max="262" width="8.44140625" style="67" customWidth="1"/>
    <col min="263" max="263" width="7.5546875" style="67" customWidth="1"/>
    <col min="264" max="264" width="7.109375" style="67" customWidth="1"/>
    <col min="265" max="266" width="8.5546875" style="67" customWidth="1"/>
    <col min="267" max="267" width="7.109375" style="67" customWidth="1"/>
    <col min="268" max="512" width="9.109375" style="67"/>
    <col min="513" max="513" width="9" style="67" customWidth="1"/>
    <col min="514" max="514" width="8.44140625" style="67" customWidth="1"/>
    <col min="515" max="515" width="7.44140625" style="67" customWidth="1"/>
    <col min="516" max="516" width="6" style="67" customWidth="1"/>
    <col min="517" max="517" width="9.88671875" style="67" customWidth="1"/>
    <col min="518" max="518" width="8.44140625" style="67" customWidth="1"/>
    <col min="519" max="519" width="7.5546875" style="67" customWidth="1"/>
    <col min="520" max="520" width="7.109375" style="67" customWidth="1"/>
    <col min="521" max="522" width="8.5546875" style="67" customWidth="1"/>
    <col min="523" max="523" width="7.109375" style="67" customWidth="1"/>
    <col min="524" max="768" width="9.109375" style="67"/>
    <col min="769" max="769" width="9" style="67" customWidth="1"/>
    <col min="770" max="770" width="8.44140625" style="67" customWidth="1"/>
    <col min="771" max="771" width="7.44140625" style="67" customWidth="1"/>
    <col min="772" max="772" width="6" style="67" customWidth="1"/>
    <col min="773" max="773" width="9.88671875" style="67" customWidth="1"/>
    <col min="774" max="774" width="8.44140625" style="67" customWidth="1"/>
    <col min="775" max="775" width="7.5546875" style="67" customWidth="1"/>
    <col min="776" max="776" width="7.109375" style="67" customWidth="1"/>
    <col min="777" max="778" width="8.5546875" style="67" customWidth="1"/>
    <col min="779" max="779" width="7.109375" style="67" customWidth="1"/>
    <col min="780" max="1024" width="9.109375" style="67"/>
    <col min="1025" max="1025" width="9" style="67" customWidth="1"/>
    <col min="1026" max="1026" width="8.44140625" style="67" customWidth="1"/>
    <col min="1027" max="1027" width="7.44140625" style="67" customWidth="1"/>
    <col min="1028" max="1028" width="6" style="67" customWidth="1"/>
    <col min="1029" max="1029" width="9.88671875" style="67" customWidth="1"/>
    <col min="1030" max="1030" width="8.44140625" style="67" customWidth="1"/>
    <col min="1031" max="1031" width="7.5546875" style="67" customWidth="1"/>
    <col min="1032" max="1032" width="7.109375" style="67" customWidth="1"/>
    <col min="1033" max="1034" width="8.5546875" style="67" customWidth="1"/>
    <col min="1035" max="1035" width="7.109375" style="67" customWidth="1"/>
    <col min="1036" max="1280" width="9.109375" style="67"/>
    <col min="1281" max="1281" width="9" style="67" customWidth="1"/>
    <col min="1282" max="1282" width="8.44140625" style="67" customWidth="1"/>
    <col min="1283" max="1283" width="7.44140625" style="67" customWidth="1"/>
    <col min="1284" max="1284" width="6" style="67" customWidth="1"/>
    <col min="1285" max="1285" width="9.88671875" style="67" customWidth="1"/>
    <col min="1286" max="1286" width="8.44140625" style="67" customWidth="1"/>
    <col min="1287" max="1287" width="7.5546875" style="67" customWidth="1"/>
    <col min="1288" max="1288" width="7.109375" style="67" customWidth="1"/>
    <col min="1289" max="1290" width="8.5546875" style="67" customWidth="1"/>
    <col min="1291" max="1291" width="7.109375" style="67" customWidth="1"/>
    <col min="1292" max="1536" width="9.109375" style="67"/>
    <col min="1537" max="1537" width="9" style="67" customWidth="1"/>
    <col min="1538" max="1538" width="8.44140625" style="67" customWidth="1"/>
    <col min="1539" max="1539" width="7.44140625" style="67" customWidth="1"/>
    <col min="1540" max="1540" width="6" style="67" customWidth="1"/>
    <col min="1541" max="1541" width="9.88671875" style="67" customWidth="1"/>
    <col min="1542" max="1542" width="8.44140625" style="67" customWidth="1"/>
    <col min="1543" max="1543" width="7.5546875" style="67" customWidth="1"/>
    <col min="1544" max="1544" width="7.109375" style="67" customWidth="1"/>
    <col min="1545" max="1546" width="8.5546875" style="67" customWidth="1"/>
    <col min="1547" max="1547" width="7.109375" style="67" customWidth="1"/>
    <col min="1548" max="1792" width="9.109375" style="67"/>
    <col min="1793" max="1793" width="9" style="67" customWidth="1"/>
    <col min="1794" max="1794" width="8.44140625" style="67" customWidth="1"/>
    <col min="1795" max="1795" width="7.44140625" style="67" customWidth="1"/>
    <col min="1796" max="1796" width="6" style="67" customWidth="1"/>
    <col min="1797" max="1797" width="9.88671875" style="67" customWidth="1"/>
    <col min="1798" max="1798" width="8.44140625" style="67" customWidth="1"/>
    <col min="1799" max="1799" width="7.5546875" style="67" customWidth="1"/>
    <col min="1800" max="1800" width="7.109375" style="67" customWidth="1"/>
    <col min="1801" max="1802" width="8.5546875" style="67" customWidth="1"/>
    <col min="1803" max="1803" width="7.109375" style="67" customWidth="1"/>
    <col min="1804" max="2048" width="9.109375" style="67"/>
    <col min="2049" max="2049" width="9" style="67" customWidth="1"/>
    <col min="2050" max="2050" width="8.44140625" style="67" customWidth="1"/>
    <col min="2051" max="2051" width="7.44140625" style="67" customWidth="1"/>
    <col min="2052" max="2052" width="6" style="67" customWidth="1"/>
    <col min="2053" max="2053" width="9.88671875" style="67" customWidth="1"/>
    <col min="2054" max="2054" width="8.44140625" style="67" customWidth="1"/>
    <col min="2055" max="2055" width="7.5546875" style="67" customWidth="1"/>
    <col min="2056" max="2056" width="7.109375" style="67" customWidth="1"/>
    <col min="2057" max="2058" width="8.5546875" style="67" customWidth="1"/>
    <col min="2059" max="2059" width="7.109375" style="67" customWidth="1"/>
    <col min="2060" max="2304" width="9.109375" style="67"/>
    <col min="2305" max="2305" width="9" style="67" customWidth="1"/>
    <col min="2306" max="2306" width="8.44140625" style="67" customWidth="1"/>
    <col min="2307" max="2307" width="7.44140625" style="67" customWidth="1"/>
    <col min="2308" max="2308" width="6" style="67" customWidth="1"/>
    <col min="2309" max="2309" width="9.88671875" style="67" customWidth="1"/>
    <col min="2310" max="2310" width="8.44140625" style="67" customWidth="1"/>
    <col min="2311" max="2311" width="7.5546875" style="67" customWidth="1"/>
    <col min="2312" max="2312" width="7.109375" style="67" customWidth="1"/>
    <col min="2313" max="2314" width="8.5546875" style="67" customWidth="1"/>
    <col min="2315" max="2315" width="7.109375" style="67" customWidth="1"/>
    <col min="2316" max="2560" width="9.109375" style="67"/>
    <col min="2561" max="2561" width="9" style="67" customWidth="1"/>
    <col min="2562" max="2562" width="8.44140625" style="67" customWidth="1"/>
    <col min="2563" max="2563" width="7.44140625" style="67" customWidth="1"/>
    <col min="2564" max="2564" width="6" style="67" customWidth="1"/>
    <col min="2565" max="2565" width="9.88671875" style="67" customWidth="1"/>
    <col min="2566" max="2566" width="8.44140625" style="67" customWidth="1"/>
    <col min="2567" max="2567" width="7.5546875" style="67" customWidth="1"/>
    <col min="2568" max="2568" width="7.109375" style="67" customWidth="1"/>
    <col min="2569" max="2570" width="8.5546875" style="67" customWidth="1"/>
    <col min="2571" max="2571" width="7.109375" style="67" customWidth="1"/>
    <col min="2572" max="2816" width="9.109375" style="67"/>
    <col min="2817" max="2817" width="9" style="67" customWidth="1"/>
    <col min="2818" max="2818" width="8.44140625" style="67" customWidth="1"/>
    <col min="2819" max="2819" width="7.44140625" style="67" customWidth="1"/>
    <col min="2820" max="2820" width="6" style="67" customWidth="1"/>
    <col min="2821" max="2821" width="9.88671875" style="67" customWidth="1"/>
    <col min="2822" max="2822" width="8.44140625" style="67" customWidth="1"/>
    <col min="2823" max="2823" width="7.5546875" style="67" customWidth="1"/>
    <col min="2824" max="2824" width="7.109375" style="67" customWidth="1"/>
    <col min="2825" max="2826" width="8.5546875" style="67" customWidth="1"/>
    <col min="2827" max="2827" width="7.109375" style="67" customWidth="1"/>
    <col min="2828" max="3072" width="9.109375" style="67"/>
    <col min="3073" max="3073" width="9" style="67" customWidth="1"/>
    <col min="3074" max="3074" width="8.44140625" style="67" customWidth="1"/>
    <col min="3075" max="3075" width="7.44140625" style="67" customWidth="1"/>
    <col min="3076" max="3076" width="6" style="67" customWidth="1"/>
    <col min="3077" max="3077" width="9.88671875" style="67" customWidth="1"/>
    <col min="3078" max="3078" width="8.44140625" style="67" customWidth="1"/>
    <col min="3079" max="3079" width="7.5546875" style="67" customWidth="1"/>
    <col min="3080" max="3080" width="7.109375" style="67" customWidth="1"/>
    <col min="3081" max="3082" width="8.5546875" style="67" customWidth="1"/>
    <col min="3083" max="3083" width="7.109375" style="67" customWidth="1"/>
    <col min="3084" max="3328" width="9.109375" style="67"/>
    <col min="3329" max="3329" width="9" style="67" customWidth="1"/>
    <col min="3330" max="3330" width="8.44140625" style="67" customWidth="1"/>
    <col min="3331" max="3331" width="7.44140625" style="67" customWidth="1"/>
    <col min="3332" max="3332" width="6" style="67" customWidth="1"/>
    <col min="3333" max="3333" width="9.88671875" style="67" customWidth="1"/>
    <col min="3334" max="3334" width="8.44140625" style="67" customWidth="1"/>
    <col min="3335" max="3335" width="7.5546875" style="67" customWidth="1"/>
    <col min="3336" max="3336" width="7.109375" style="67" customWidth="1"/>
    <col min="3337" max="3338" width="8.5546875" style="67" customWidth="1"/>
    <col min="3339" max="3339" width="7.109375" style="67" customWidth="1"/>
    <col min="3340" max="3584" width="9.109375" style="67"/>
    <col min="3585" max="3585" width="9" style="67" customWidth="1"/>
    <col min="3586" max="3586" width="8.44140625" style="67" customWidth="1"/>
    <col min="3587" max="3587" width="7.44140625" style="67" customWidth="1"/>
    <col min="3588" max="3588" width="6" style="67" customWidth="1"/>
    <col min="3589" max="3589" width="9.88671875" style="67" customWidth="1"/>
    <col min="3590" max="3590" width="8.44140625" style="67" customWidth="1"/>
    <col min="3591" max="3591" width="7.5546875" style="67" customWidth="1"/>
    <col min="3592" max="3592" width="7.109375" style="67" customWidth="1"/>
    <col min="3593" max="3594" width="8.5546875" style="67" customWidth="1"/>
    <col min="3595" max="3595" width="7.109375" style="67" customWidth="1"/>
    <col min="3596" max="3840" width="9.109375" style="67"/>
    <col min="3841" max="3841" width="9" style="67" customWidth="1"/>
    <col min="3842" max="3842" width="8.44140625" style="67" customWidth="1"/>
    <col min="3843" max="3843" width="7.44140625" style="67" customWidth="1"/>
    <col min="3844" max="3844" width="6" style="67" customWidth="1"/>
    <col min="3845" max="3845" width="9.88671875" style="67" customWidth="1"/>
    <col min="3846" max="3846" width="8.44140625" style="67" customWidth="1"/>
    <col min="3847" max="3847" width="7.5546875" style="67" customWidth="1"/>
    <col min="3848" max="3848" width="7.109375" style="67" customWidth="1"/>
    <col min="3849" max="3850" width="8.5546875" style="67" customWidth="1"/>
    <col min="3851" max="3851" width="7.109375" style="67" customWidth="1"/>
    <col min="3852" max="4096" width="9.109375" style="67"/>
    <col min="4097" max="4097" width="9" style="67" customWidth="1"/>
    <col min="4098" max="4098" width="8.44140625" style="67" customWidth="1"/>
    <col min="4099" max="4099" width="7.44140625" style="67" customWidth="1"/>
    <col min="4100" max="4100" width="6" style="67" customWidth="1"/>
    <col min="4101" max="4101" width="9.88671875" style="67" customWidth="1"/>
    <col min="4102" max="4102" width="8.44140625" style="67" customWidth="1"/>
    <col min="4103" max="4103" width="7.5546875" style="67" customWidth="1"/>
    <col min="4104" max="4104" width="7.109375" style="67" customWidth="1"/>
    <col min="4105" max="4106" width="8.5546875" style="67" customWidth="1"/>
    <col min="4107" max="4107" width="7.109375" style="67" customWidth="1"/>
    <col min="4108" max="4352" width="9.109375" style="67"/>
    <col min="4353" max="4353" width="9" style="67" customWidth="1"/>
    <col min="4354" max="4354" width="8.44140625" style="67" customWidth="1"/>
    <col min="4355" max="4355" width="7.44140625" style="67" customWidth="1"/>
    <col min="4356" max="4356" width="6" style="67" customWidth="1"/>
    <col min="4357" max="4357" width="9.88671875" style="67" customWidth="1"/>
    <col min="4358" max="4358" width="8.44140625" style="67" customWidth="1"/>
    <col min="4359" max="4359" width="7.5546875" style="67" customWidth="1"/>
    <col min="4360" max="4360" width="7.109375" style="67" customWidth="1"/>
    <col min="4361" max="4362" width="8.5546875" style="67" customWidth="1"/>
    <col min="4363" max="4363" width="7.109375" style="67" customWidth="1"/>
    <col min="4364" max="4608" width="9.109375" style="67"/>
    <col min="4609" max="4609" width="9" style="67" customWidth="1"/>
    <col min="4610" max="4610" width="8.44140625" style="67" customWidth="1"/>
    <col min="4611" max="4611" width="7.44140625" style="67" customWidth="1"/>
    <col min="4612" max="4612" width="6" style="67" customWidth="1"/>
    <col min="4613" max="4613" width="9.88671875" style="67" customWidth="1"/>
    <col min="4614" max="4614" width="8.44140625" style="67" customWidth="1"/>
    <col min="4615" max="4615" width="7.5546875" style="67" customWidth="1"/>
    <col min="4616" max="4616" width="7.109375" style="67" customWidth="1"/>
    <col min="4617" max="4618" width="8.5546875" style="67" customWidth="1"/>
    <col min="4619" max="4619" width="7.109375" style="67" customWidth="1"/>
    <col min="4620" max="4864" width="9.109375" style="67"/>
    <col min="4865" max="4865" width="9" style="67" customWidth="1"/>
    <col min="4866" max="4866" width="8.44140625" style="67" customWidth="1"/>
    <col min="4867" max="4867" width="7.44140625" style="67" customWidth="1"/>
    <col min="4868" max="4868" width="6" style="67" customWidth="1"/>
    <col min="4869" max="4869" width="9.88671875" style="67" customWidth="1"/>
    <col min="4870" max="4870" width="8.44140625" style="67" customWidth="1"/>
    <col min="4871" max="4871" width="7.5546875" style="67" customWidth="1"/>
    <col min="4872" max="4872" width="7.109375" style="67" customWidth="1"/>
    <col min="4873" max="4874" width="8.5546875" style="67" customWidth="1"/>
    <col min="4875" max="4875" width="7.109375" style="67" customWidth="1"/>
    <col min="4876" max="5120" width="9.109375" style="67"/>
    <col min="5121" max="5121" width="9" style="67" customWidth="1"/>
    <col min="5122" max="5122" width="8.44140625" style="67" customWidth="1"/>
    <col min="5123" max="5123" width="7.44140625" style="67" customWidth="1"/>
    <col min="5124" max="5124" width="6" style="67" customWidth="1"/>
    <col min="5125" max="5125" width="9.88671875" style="67" customWidth="1"/>
    <col min="5126" max="5126" width="8.44140625" style="67" customWidth="1"/>
    <col min="5127" max="5127" width="7.5546875" style="67" customWidth="1"/>
    <col min="5128" max="5128" width="7.109375" style="67" customWidth="1"/>
    <col min="5129" max="5130" width="8.5546875" style="67" customWidth="1"/>
    <col min="5131" max="5131" width="7.109375" style="67" customWidth="1"/>
    <col min="5132" max="5376" width="9.109375" style="67"/>
    <col min="5377" max="5377" width="9" style="67" customWidth="1"/>
    <col min="5378" max="5378" width="8.44140625" style="67" customWidth="1"/>
    <col min="5379" max="5379" width="7.44140625" style="67" customWidth="1"/>
    <col min="5380" max="5380" width="6" style="67" customWidth="1"/>
    <col min="5381" max="5381" width="9.88671875" style="67" customWidth="1"/>
    <col min="5382" max="5382" width="8.44140625" style="67" customWidth="1"/>
    <col min="5383" max="5383" width="7.5546875" style="67" customWidth="1"/>
    <col min="5384" max="5384" width="7.109375" style="67" customWidth="1"/>
    <col min="5385" max="5386" width="8.5546875" style="67" customWidth="1"/>
    <col min="5387" max="5387" width="7.109375" style="67" customWidth="1"/>
    <col min="5388" max="5632" width="9.109375" style="67"/>
    <col min="5633" max="5633" width="9" style="67" customWidth="1"/>
    <col min="5634" max="5634" width="8.44140625" style="67" customWidth="1"/>
    <col min="5635" max="5635" width="7.44140625" style="67" customWidth="1"/>
    <col min="5636" max="5636" width="6" style="67" customWidth="1"/>
    <col min="5637" max="5637" width="9.88671875" style="67" customWidth="1"/>
    <col min="5638" max="5638" width="8.44140625" style="67" customWidth="1"/>
    <col min="5639" max="5639" width="7.5546875" style="67" customWidth="1"/>
    <col min="5640" max="5640" width="7.109375" style="67" customWidth="1"/>
    <col min="5641" max="5642" width="8.5546875" style="67" customWidth="1"/>
    <col min="5643" max="5643" width="7.109375" style="67" customWidth="1"/>
    <col min="5644" max="5888" width="9.109375" style="67"/>
    <col min="5889" max="5889" width="9" style="67" customWidth="1"/>
    <col min="5890" max="5890" width="8.44140625" style="67" customWidth="1"/>
    <col min="5891" max="5891" width="7.44140625" style="67" customWidth="1"/>
    <col min="5892" max="5892" width="6" style="67" customWidth="1"/>
    <col min="5893" max="5893" width="9.88671875" style="67" customWidth="1"/>
    <col min="5894" max="5894" width="8.44140625" style="67" customWidth="1"/>
    <col min="5895" max="5895" width="7.5546875" style="67" customWidth="1"/>
    <col min="5896" max="5896" width="7.109375" style="67" customWidth="1"/>
    <col min="5897" max="5898" width="8.5546875" style="67" customWidth="1"/>
    <col min="5899" max="5899" width="7.109375" style="67" customWidth="1"/>
    <col min="5900" max="6144" width="9.109375" style="67"/>
    <col min="6145" max="6145" width="9" style="67" customWidth="1"/>
    <col min="6146" max="6146" width="8.44140625" style="67" customWidth="1"/>
    <col min="6147" max="6147" width="7.44140625" style="67" customWidth="1"/>
    <col min="6148" max="6148" width="6" style="67" customWidth="1"/>
    <col min="6149" max="6149" width="9.88671875" style="67" customWidth="1"/>
    <col min="6150" max="6150" width="8.44140625" style="67" customWidth="1"/>
    <col min="6151" max="6151" width="7.5546875" style="67" customWidth="1"/>
    <col min="6152" max="6152" width="7.109375" style="67" customWidth="1"/>
    <col min="6153" max="6154" width="8.5546875" style="67" customWidth="1"/>
    <col min="6155" max="6155" width="7.109375" style="67" customWidth="1"/>
    <col min="6156" max="6400" width="9.109375" style="67"/>
    <col min="6401" max="6401" width="9" style="67" customWidth="1"/>
    <col min="6402" max="6402" width="8.44140625" style="67" customWidth="1"/>
    <col min="6403" max="6403" width="7.44140625" style="67" customWidth="1"/>
    <col min="6404" max="6404" width="6" style="67" customWidth="1"/>
    <col min="6405" max="6405" width="9.88671875" style="67" customWidth="1"/>
    <col min="6406" max="6406" width="8.44140625" style="67" customWidth="1"/>
    <col min="6407" max="6407" width="7.5546875" style="67" customWidth="1"/>
    <col min="6408" max="6408" width="7.109375" style="67" customWidth="1"/>
    <col min="6409" max="6410" width="8.5546875" style="67" customWidth="1"/>
    <col min="6411" max="6411" width="7.109375" style="67" customWidth="1"/>
    <col min="6412" max="6656" width="9.109375" style="67"/>
    <col min="6657" max="6657" width="9" style="67" customWidth="1"/>
    <col min="6658" max="6658" width="8.44140625" style="67" customWidth="1"/>
    <col min="6659" max="6659" width="7.44140625" style="67" customWidth="1"/>
    <col min="6660" max="6660" width="6" style="67" customWidth="1"/>
    <col min="6661" max="6661" width="9.88671875" style="67" customWidth="1"/>
    <col min="6662" max="6662" width="8.44140625" style="67" customWidth="1"/>
    <col min="6663" max="6663" width="7.5546875" style="67" customWidth="1"/>
    <col min="6664" max="6664" width="7.109375" style="67" customWidth="1"/>
    <col min="6665" max="6666" width="8.5546875" style="67" customWidth="1"/>
    <col min="6667" max="6667" width="7.109375" style="67" customWidth="1"/>
    <col min="6668" max="6912" width="9.109375" style="67"/>
    <col min="6913" max="6913" width="9" style="67" customWidth="1"/>
    <col min="6914" max="6914" width="8.44140625" style="67" customWidth="1"/>
    <col min="6915" max="6915" width="7.44140625" style="67" customWidth="1"/>
    <col min="6916" max="6916" width="6" style="67" customWidth="1"/>
    <col min="6917" max="6917" width="9.88671875" style="67" customWidth="1"/>
    <col min="6918" max="6918" width="8.44140625" style="67" customWidth="1"/>
    <col min="6919" max="6919" width="7.5546875" style="67" customWidth="1"/>
    <col min="6920" max="6920" width="7.109375" style="67" customWidth="1"/>
    <col min="6921" max="6922" width="8.5546875" style="67" customWidth="1"/>
    <col min="6923" max="6923" width="7.109375" style="67" customWidth="1"/>
    <col min="6924" max="7168" width="9.109375" style="67"/>
    <col min="7169" max="7169" width="9" style="67" customWidth="1"/>
    <col min="7170" max="7170" width="8.44140625" style="67" customWidth="1"/>
    <col min="7171" max="7171" width="7.44140625" style="67" customWidth="1"/>
    <col min="7172" max="7172" width="6" style="67" customWidth="1"/>
    <col min="7173" max="7173" width="9.88671875" style="67" customWidth="1"/>
    <col min="7174" max="7174" width="8.44140625" style="67" customWidth="1"/>
    <col min="7175" max="7175" width="7.5546875" style="67" customWidth="1"/>
    <col min="7176" max="7176" width="7.109375" style="67" customWidth="1"/>
    <col min="7177" max="7178" width="8.5546875" style="67" customWidth="1"/>
    <col min="7179" max="7179" width="7.109375" style="67" customWidth="1"/>
    <col min="7180" max="7424" width="9.109375" style="67"/>
    <col min="7425" max="7425" width="9" style="67" customWidth="1"/>
    <col min="7426" max="7426" width="8.44140625" style="67" customWidth="1"/>
    <col min="7427" max="7427" width="7.44140625" style="67" customWidth="1"/>
    <col min="7428" max="7428" width="6" style="67" customWidth="1"/>
    <col min="7429" max="7429" width="9.88671875" style="67" customWidth="1"/>
    <col min="7430" max="7430" width="8.44140625" style="67" customWidth="1"/>
    <col min="7431" max="7431" width="7.5546875" style="67" customWidth="1"/>
    <col min="7432" max="7432" width="7.109375" style="67" customWidth="1"/>
    <col min="7433" max="7434" width="8.5546875" style="67" customWidth="1"/>
    <col min="7435" max="7435" width="7.109375" style="67" customWidth="1"/>
    <col min="7436" max="7680" width="9.109375" style="67"/>
    <col min="7681" max="7681" width="9" style="67" customWidth="1"/>
    <col min="7682" max="7682" width="8.44140625" style="67" customWidth="1"/>
    <col min="7683" max="7683" width="7.44140625" style="67" customWidth="1"/>
    <col min="7684" max="7684" width="6" style="67" customWidth="1"/>
    <col min="7685" max="7685" width="9.88671875" style="67" customWidth="1"/>
    <col min="7686" max="7686" width="8.44140625" style="67" customWidth="1"/>
    <col min="7687" max="7687" width="7.5546875" style="67" customWidth="1"/>
    <col min="7688" max="7688" width="7.109375" style="67" customWidth="1"/>
    <col min="7689" max="7690" width="8.5546875" style="67" customWidth="1"/>
    <col min="7691" max="7691" width="7.109375" style="67" customWidth="1"/>
    <col min="7692" max="7936" width="9.109375" style="67"/>
    <col min="7937" max="7937" width="9" style="67" customWidth="1"/>
    <col min="7938" max="7938" width="8.44140625" style="67" customWidth="1"/>
    <col min="7939" max="7939" width="7.44140625" style="67" customWidth="1"/>
    <col min="7940" max="7940" width="6" style="67" customWidth="1"/>
    <col min="7941" max="7941" width="9.88671875" style="67" customWidth="1"/>
    <col min="7942" max="7942" width="8.44140625" style="67" customWidth="1"/>
    <col min="7943" max="7943" width="7.5546875" style="67" customWidth="1"/>
    <col min="7944" max="7944" width="7.109375" style="67" customWidth="1"/>
    <col min="7945" max="7946" width="8.5546875" style="67" customWidth="1"/>
    <col min="7947" max="7947" width="7.109375" style="67" customWidth="1"/>
    <col min="7948" max="8192" width="9.109375" style="67"/>
    <col min="8193" max="8193" width="9" style="67" customWidth="1"/>
    <col min="8194" max="8194" width="8.44140625" style="67" customWidth="1"/>
    <col min="8195" max="8195" width="7.44140625" style="67" customWidth="1"/>
    <col min="8196" max="8196" width="6" style="67" customWidth="1"/>
    <col min="8197" max="8197" width="9.88671875" style="67" customWidth="1"/>
    <col min="8198" max="8198" width="8.44140625" style="67" customWidth="1"/>
    <col min="8199" max="8199" width="7.5546875" style="67" customWidth="1"/>
    <col min="8200" max="8200" width="7.109375" style="67" customWidth="1"/>
    <col min="8201" max="8202" width="8.5546875" style="67" customWidth="1"/>
    <col min="8203" max="8203" width="7.109375" style="67" customWidth="1"/>
    <col min="8204" max="8448" width="9.109375" style="67"/>
    <col min="8449" max="8449" width="9" style="67" customWidth="1"/>
    <col min="8450" max="8450" width="8.44140625" style="67" customWidth="1"/>
    <col min="8451" max="8451" width="7.44140625" style="67" customWidth="1"/>
    <col min="8452" max="8452" width="6" style="67" customWidth="1"/>
    <col min="8453" max="8453" width="9.88671875" style="67" customWidth="1"/>
    <col min="8454" max="8454" width="8.44140625" style="67" customWidth="1"/>
    <col min="8455" max="8455" width="7.5546875" style="67" customWidth="1"/>
    <col min="8456" max="8456" width="7.109375" style="67" customWidth="1"/>
    <col min="8457" max="8458" width="8.5546875" style="67" customWidth="1"/>
    <col min="8459" max="8459" width="7.109375" style="67" customWidth="1"/>
    <col min="8460" max="8704" width="9.109375" style="67"/>
    <col min="8705" max="8705" width="9" style="67" customWidth="1"/>
    <col min="8706" max="8706" width="8.44140625" style="67" customWidth="1"/>
    <col min="8707" max="8707" width="7.44140625" style="67" customWidth="1"/>
    <col min="8708" max="8708" width="6" style="67" customWidth="1"/>
    <col min="8709" max="8709" width="9.88671875" style="67" customWidth="1"/>
    <col min="8710" max="8710" width="8.44140625" style="67" customWidth="1"/>
    <col min="8711" max="8711" width="7.5546875" style="67" customWidth="1"/>
    <col min="8712" max="8712" width="7.109375" style="67" customWidth="1"/>
    <col min="8713" max="8714" width="8.5546875" style="67" customWidth="1"/>
    <col min="8715" max="8715" width="7.109375" style="67" customWidth="1"/>
    <col min="8716" max="8960" width="9.109375" style="67"/>
    <col min="8961" max="8961" width="9" style="67" customWidth="1"/>
    <col min="8962" max="8962" width="8.44140625" style="67" customWidth="1"/>
    <col min="8963" max="8963" width="7.44140625" style="67" customWidth="1"/>
    <col min="8964" max="8964" width="6" style="67" customWidth="1"/>
    <col min="8965" max="8965" width="9.88671875" style="67" customWidth="1"/>
    <col min="8966" max="8966" width="8.44140625" style="67" customWidth="1"/>
    <col min="8967" max="8967" width="7.5546875" style="67" customWidth="1"/>
    <col min="8968" max="8968" width="7.109375" style="67" customWidth="1"/>
    <col min="8969" max="8970" width="8.5546875" style="67" customWidth="1"/>
    <col min="8971" max="8971" width="7.109375" style="67" customWidth="1"/>
    <col min="8972" max="9216" width="9.109375" style="67"/>
    <col min="9217" max="9217" width="9" style="67" customWidth="1"/>
    <col min="9218" max="9218" width="8.44140625" style="67" customWidth="1"/>
    <col min="9219" max="9219" width="7.44140625" style="67" customWidth="1"/>
    <col min="9220" max="9220" width="6" style="67" customWidth="1"/>
    <col min="9221" max="9221" width="9.88671875" style="67" customWidth="1"/>
    <col min="9222" max="9222" width="8.44140625" style="67" customWidth="1"/>
    <col min="9223" max="9223" width="7.5546875" style="67" customWidth="1"/>
    <col min="9224" max="9224" width="7.109375" style="67" customWidth="1"/>
    <col min="9225" max="9226" width="8.5546875" style="67" customWidth="1"/>
    <col min="9227" max="9227" width="7.109375" style="67" customWidth="1"/>
    <col min="9228" max="9472" width="9.109375" style="67"/>
    <col min="9473" max="9473" width="9" style="67" customWidth="1"/>
    <col min="9474" max="9474" width="8.44140625" style="67" customWidth="1"/>
    <col min="9475" max="9475" width="7.44140625" style="67" customWidth="1"/>
    <col min="9476" max="9476" width="6" style="67" customWidth="1"/>
    <col min="9477" max="9477" width="9.88671875" style="67" customWidth="1"/>
    <col min="9478" max="9478" width="8.44140625" style="67" customWidth="1"/>
    <col min="9479" max="9479" width="7.5546875" style="67" customWidth="1"/>
    <col min="9480" max="9480" width="7.109375" style="67" customWidth="1"/>
    <col min="9481" max="9482" width="8.5546875" style="67" customWidth="1"/>
    <col min="9483" max="9483" width="7.109375" style="67" customWidth="1"/>
    <col min="9484" max="9728" width="9.109375" style="67"/>
    <col min="9729" max="9729" width="9" style="67" customWidth="1"/>
    <col min="9730" max="9730" width="8.44140625" style="67" customWidth="1"/>
    <col min="9731" max="9731" width="7.44140625" style="67" customWidth="1"/>
    <col min="9732" max="9732" width="6" style="67" customWidth="1"/>
    <col min="9733" max="9733" width="9.88671875" style="67" customWidth="1"/>
    <col min="9734" max="9734" width="8.44140625" style="67" customWidth="1"/>
    <col min="9735" max="9735" width="7.5546875" style="67" customWidth="1"/>
    <col min="9736" max="9736" width="7.109375" style="67" customWidth="1"/>
    <col min="9737" max="9738" width="8.5546875" style="67" customWidth="1"/>
    <col min="9739" max="9739" width="7.109375" style="67" customWidth="1"/>
    <col min="9740" max="9984" width="9.109375" style="67"/>
    <col min="9985" max="9985" width="9" style="67" customWidth="1"/>
    <col min="9986" max="9986" width="8.44140625" style="67" customWidth="1"/>
    <col min="9987" max="9987" width="7.44140625" style="67" customWidth="1"/>
    <col min="9988" max="9988" width="6" style="67" customWidth="1"/>
    <col min="9989" max="9989" width="9.88671875" style="67" customWidth="1"/>
    <col min="9990" max="9990" width="8.44140625" style="67" customWidth="1"/>
    <col min="9991" max="9991" width="7.5546875" style="67" customWidth="1"/>
    <col min="9992" max="9992" width="7.109375" style="67" customWidth="1"/>
    <col min="9993" max="9994" width="8.5546875" style="67" customWidth="1"/>
    <col min="9995" max="9995" width="7.109375" style="67" customWidth="1"/>
    <col min="9996" max="10240" width="9.109375" style="67"/>
    <col min="10241" max="10241" width="9" style="67" customWidth="1"/>
    <col min="10242" max="10242" width="8.44140625" style="67" customWidth="1"/>
    <col min="10243" max="10243" width="7.44140625" style="67" customWidth="1"/>
    <col min="10244" max="10244" width="6" style="67" customWidth="1"/>
    <col min="10245" max="10245" width="9.88671875" style="67" customWidth="1"/>
    <col min="10246" max="10246" width="8.44140625" style="67" customWidth="1"/>
    <col min="10247" max="10247" width="7.5546875" style="67" customWidth="1"/>
    <col min="10248" max="10248" width="7.109375" style="67" customWidth="1"/>
    <col min="10249" max="10250" width="8.5546875" style="67" customWidth="1"/>
    <col min="10251" max="10251" width="7.109375" style="67" customWidth="1"/>
    <col min="10252" max="10496" width="9.109375" style="67"/>
    <col min="10497" max="10497" width="9" style="67" customWidth="1"/>
    <col min="10498" max="10498" width="8.44140625" style="67" customWidth="1"/>
    <col min="10499" max="10499" width="7.44140625" style="67" customWidth="1"/>
    <col min="10500" max="10500" width="6" style="67" customWidth="1"/>
    <col min="10501" max="10501" width="9.88671875" style="67" customWidth="1"/>
    <col min="10502" max="10502" width="8.44140625" style="67" customWidth="1"/>
    <col min="10503" max="10503" width="7.5546875" style="67" customWidth="1"/>
    <col min="10504" max="10504" width="7.109375" style="67" customWidth="1"/>
    <col min="10505" max="10506" width="8.5546875" style="67" customWidth="1"/>
    <col min="10507" max="10507" width="7.109375" style="67" customWidth="1"/>
    <col min="10508" max="10752" width="9.109375" style="67"/>
    <col min="10753" max="10753" width="9" style="67" customWidth="1"/>
    <col min="10754" max="10754" width="8.44140625" style="67" customWidth="1"/>
    <col min="10755" max="10755" width="7.44140625" style="67" customWidth="1"/>
    <col min="10756" max="10756" width="6" style="67" customWidth="1"/>
    <col min="10757" max="10757" width="9.88671875" style="67" customWidth="1"/>
    <col min="10758" max="10758" width="8.44140625" style="67" customWidth="1"/>
    <col min="10759" max="10759" width="7.5546875" style="67" customWidth="1"/>
    <col min="10760" max="10760" width="7.109375" style="67" customWidth="1"/>
    <col min="10761" max="10762" width="8.5546875" style="67" customWidth="1"/>
    <col min="10763" max="10763" width="7.109375" style="67" customWidth="1"/>
    <col min="10764" max="11008" width="9.109375" style="67"/>
    <col min="11009" max="11009" width="9" style="67" customWidth="1"/>
    <col min="11010" max="11010" width="8.44140625" style="67" customWidth="1"/>
    <col min="11011" max="11011" width="7.44140625" style="67" customWidth="1"/>
    <col min="11012" max="11012" width="6" style="67" customWidth="1"/>
    <col min="11013" max="11013" width="9.88671875" style="67" customWidth="1"/>
    <col min="11014" max="11014" width="8.44140625" style="67" customWidth="1"/>
    <col min="11015" max="11015" width="7.5546875" style="67" customWidth="1"/>
    <col min="11016" max="11016" width="7.109375" style="67" customWidth="1"/>
    <col min="11017" max="11018" width="8.5546875" style="67" customWidth="1"/>
    <col min="11019" max="11019" width="7.109375" style="67" customWidth="1"/>
    <col min="11020" max="11264" width="9.109375" style="67"/>
    <col min="11265" max="11265" width="9" style="67" customWidth="1"/>
    <col min="11266" max="11266" width="8.44140625" style="67" customWidth="1"/>
    <col min="11267" max="11267" width="7.44140625" style="67" customWidth="1"/>
    <col min="11268" max="11268" width="6" style="67" customWidth="1"/>
    <col min="11269" max="11269" width="9.88671875" style="67" customWidth="1"/>
    <col min="11270" max="11270" width="8.44140625" style="67" customWidth="1"/>
    <col min="11271" max="11271" width="7.5546875" style="67" customWidth="1"/>
    <col min="11272" max="11272" width="7.109375" style="67" customWidth="1"/>
    <col min="11273" max="11274" width="8.5546875" style="67" customWidth="1"/>
    <col min="11275" max="11275" width="7.109375" style="67" customWidth="1"/>
    <col min="11276" max="11520" width="9.109375" style="67"/>
    <col min="11521" max="11521" width="9" style="67" customWidth="1"/>
    <col min="11522" max="11522" width="8.44140625" style="67" customWidth="1"/>
    <col min="11523" max="11523" width="7.44140625" style="67" customWidth="1"/>
    <col min="11524" max="11524" width="6" style="67" customWidth="1"/>
    <col min="11525" max="11525" width="9.88671875" style="67" customWidth="1"/>
    <col min="11526" max="11526" width="8.44140625" style="67" customWidth="1"/>
    <col min="11527" max="11527" width="7.5546875" style="67" customWidth="1"/>
    <col min="11528" max="11528" width="7.109375" style="67" customWidth="1"/>
    <col min="11529" max="11530" width="8.5546875" style="67" customWidth="1"/>
    <col min="11531" max="11531" width="7.109375" style="67" customWidth="1"/>
    <col min="11532" max="11776" width="9.109375" style="67"/>
    <col min="11777" max="11777" width="9" style="67" customWidth="1"/>
    <col min="11778" max="11778" width="8.44140625" style="67" customWidth="1"/>
    <col min="11779" max="11779" width="7.44140625" style="67" customWidth="1"/>
    <col min="11780" max="11780" width="6" style="67" customWidth="1"/>
    <col min="11781" max="11781" width="9.88671875" style="67" customWidth="1"/>
    <col min="11782" max="11782" width="8.44140625" style="67" customWidth="1"/>
    <col min="11783" max="11783" width="7.5546875" style="67" customWidth="1"/>
    <col min="11784" max="11784" width="7.109375" style="67" customWidth="1"/>
    <col min="11785" max="11786" width="8.5546875" style="67" customWidth="1"/>
    <col min="11787" max="11787" width="7.109375" style="67" customWidth="1"/>
    <col min="11788" max="12032" width="9.109375" style="67"/>
    <col min="12033" max="12033" width="9" style="67" customWidth="1"/>
    <col min="12034" max="12034" width="8.44140625" style="67" customWidth="1"/>
    <col min="12035" max="12035" width="7.44140625" style="67" customWidth="1"/>
    <col min="12036" max="12036" width="6" style="67" customWidth="1"/>
    <col min="12037" max="12037" width="9.88671875" style="67" customWidth="1"/>
    <col min="12038" max="12038" width="8.44140625" style="67" customWidth="1"/>
    <col min="12039" max="12039" width="7.5546875" style="67" customWidth="1"/>
    <col min="12040" max="12040" width="7.109375" style="67" customWidth="1"/>
    <col min="12041" max="12042" width="8.5546875" style="67" customWidth="1"/>
    <col min="12043" max="12043" width="7.109375" style="67" customWidth="1"/>
    <col min="12044" max="12288" width="9.109375" style="67"/>
    <col min="12289" max="12289" width="9" style="67" customWidth="1"/>
    <col min="12290" max="12290" width="8.44140625" style="67" customWidth="1"/>
    <col min="12291" max="12291" width="7.44140625" style="67" customWidth="1"/>
    <col min="12292" max="12292" width="6" style="67" customWidth="1"/>
    <col min="12293" max="12293" width="9.88671875" style="67" customWidth="1"/>
    <col min="12294" max="12294" width="8.44140625" style="67" customWidth="1"/>
    <col min="12295" max="12295" width="7.5546875" style="67" customWidth="1"/>
    <col min="12296" max="12296" width="7.109375" style="67" customWidth="1"/>
    <col min="12297" max="12298" width="8.5546875" style="67" customWidth="1"/>
    <col min="12299" max="12299" width="7.109375" style="67" customWidth="1"/>
    <col min="12300" max="12544" width="9.109375" style="67"/>
    <col min="12545" max="12545" width="9" style="67" customWidth="1"/>
    <col min="12546" max="12546" width="8.44140625" style="67" customWidth="1"/>
    <col min="12547" max="12547" width="7.44140625" style="67" customWidth="1"/>
    <col min="12548" max="12548" width="6" style="67" customWidth="1"/>
    <col min="12549" max="12549" width="9.88671875" style="67" customWidth="1"/>
    <col min="12550" max="12550" width="8.44140625" style="67" customWidth="1"/>
    <col min="12551" max="12551" width="7.5546875" style="67" customWidth="1"/>
    <col min="12552" max="12552" width="7.109375" style="67" customWidth="1"/>
    <col min="12553" max="12554" width="8.5546875" style="67" customWidth="1"/>
    <col min="12555" max="12555" width="7.109375" style="67" customWidth="1"/>
    <col min="12556" max="12800" width="9.109375" style="67"/>
    <col min="12801" max="12801" width="9" style="67" customWidth="1"/>
    <col min="12802" max="12802" width="8.44140625" style="67" customWidth="1"/>
    <col min="12803" max="12803" width="7.44140625" style="67" customWidth="1"/>
    <col min="12804" max="12804" width="6" style="67" customWidth="1"/>
    <col min="12805" max="12805" width="9.88671875" style="67" customWidth="1"/>
    <col min="12806" max="12806" width="8.44140625" style="67" customWidth="1"/>
    <col min="12807" max="12807" width="7.5546875" style="67" customWidth="1"/>
    <col min="12808" max="12808" width="7.109375" style="67" customWidth="1"/>
    <col min="12809" max="12810" width="8.5546875" style="67" customWidth="1"/>
    <col min="12811" max="12811" width="7.109375" style="67" customWidth="1"/>
    <col min="12812" max="13056" width="9.109375" style="67"/>
    <col min="13057" max="13057" width="9" style="67" customWidth="1"/>
    <col min="13058" max="13058" width="8.44140625" style="67" customWidth="1"/>
    <col min="13059" max="13059" width="7.44140625" style="67" customWidth="1"/>
    <col min="13060" max="13060" width="6" style="67" customWidth="1"/>
    <col min="13061" max="13061" width="9.88671875" style="67" customWidth="1"/>
    <col min="13062" max="13062" width="8.44140625" style="67" customWidth="1"/>
    <col min="13063" max="13063" width="7.5546875" style="67" customWidth="1"/>
    <col min="13064" max="13064" width="7.109375" style="67" customWidth="1"/>
    <col min="13065" max="13066" width="8.5546875" style="67" customWidth="1"/>
    <col min="13067" max="13067" width="7.109375" style="67" customWidth="1"/>
    <col min="13068" max="13312" width="9.109375" style="67"/>
    <col min="13313" max="13313" width="9" style="67" customWidth="1"/>
    <col min="13314" max="13314" width="8.44140625" style="67" customWidth="1"/>
    <col min="13315" max="13315" width="7.44140625" style="67" customWidth="1"/>
    <col min="13316" max="13316" width="6" style="67" customWidth="1"/>
    <col min="13317" max="13317" width="9.88671875" style="67" customWidth="1"/>
    <col min="13318" max="13318" width="8.44140625" style="67" customWidth="1"/>
    <col min="13319" max="13319" width="7.5546875" style="67" customWidth="1"/>
    <col min="13320" max="13320" width="7.109375" style="67" customWidth="1"/>
    <col min="13321" max="13322" width="8.5546875" style="67" customWidth="1"/>
    <col min="13323" max="13323" width="7.109375" style="67" customWidth="1"/>
    <col min="13324" max="13568" width="9.109375" style="67"/>
    <col min="13569" max="13569" width="9" style="67" customWidth="1"/>
    <col min="13570" max="13570" width="8.44140625" style="67" customWidth="1"/>
    <col min="13571" max="13571" width="7.44140625" style="67" customWidth="1"/>
    <col min="13572" max="13572" width="6" style="67" customWidth="1"/>
    <col min="13573" max="13573" width="9.88671875" style="67" customWidth="1"/>
    <col min="13574" max="13574" width="8.44140625" style="67" customWidth="1"/>
    <col min="13575" max="13575" width="7.5546875" style="67" customWidth="1"/>
    <col min="13576" max="13576" width="7.109375" style="67" customWidth="1"/>
    <col min="13577" max="13578" width="8.5546875" style="67" customWidth="1"/>
    <col min="13579" max="13579" width="7.109375" style="67" customWidth="1"/>
    <col min="13580" max="13824" width="9.109375" style="67"/>
    <col min="13825" max="13825" width="9" style="67" customWidth="1"/>
    <col min="13826" max="13826" width="8.44140625" style="67" customWidth="1"/>
    <col min="13827" max="13827" width="7.44140625" style="67" customWidth="1"/>
    <col min="13828" max="13828" width="6" style="67" customWidth="1"/>
    <col min="13829" max="13829" width="9.88671875" style="67" customWidth="1"/>
    <col min="13830" max="13830" width="8.44140625" style="67" customWidth="1"/>
    <col min="13831" max="13831" width="7.5546875" style="67" customWidth="1"/>
    <col min="13832" max="13832" width="7.109375" style="67" customWidth="1"/>
    <col min="13833" max="13834" width="8.5546875" style="67" customWidth="1"/>
    <col min="13835" max="13835" width="7.109375" style="67" customWidth="1"/>
    <col min="13836" max="14080" width="9.109375" style="67"/>
    <col min="14081" max="14081" width="9" style="67" customWidth="1"/>
    <col min="14082" max="14082" width="8.44140625" style="67" customWidth="1"/>
    <col min="14083" max="14083" width="7.44140625" style="67" customWidth="1"/>
    <col min="14084" max="14084" width="6" style="67" customWidth="1"/>
    <col min="14085" max="14085" width="9.88671875" style="67" customWidth="1"/>
    <col min="14086" max="14086" width="8.44140625" style="67" customWidth="1"/>
    <col min="14087" max="14087" width="7.5546875" style="67" customWidth="1"/>
    <col min="14088" max="14088" width="7.109375" style="67" customWidth="1"/>
    <col min="14089" max="14090" width="8.5546875" style="67" customWidth="1"/>
    <col min="14091" max="14091" width="7.109375" style="67" customWidth="1"/>
    <col min="14092" max="14336" width="9.109375" style="67"/>
    <col min="14337" max="14337" width="9" style="67" customWidth="1"/>
    <col min="14338" max="14338" width="8.44140625" style="67" customWidth="1"/>
    <col min="14339" max="14339" width="7.44140625" style="67" customWidth="1"/>
    <col min="14340" max="14340" width="6" style="67" customWidth="1"/>
    <col min="14341" max="14341" width="9.88671875" style="67" customWidth="1"/>
    <col min="14342" max="14342" width="8.44140625" style="67" customWidth="1"/>
    <col min="14343" max="14343" width="7.5546875" style="67" customWidth="1"/>
    <col min="14344" max="14344" width="7.109375" style="67" customWidth="1"/>
    <col min="14345" max="14346" width="8.5546875" style="67" customWidth="1"/>
    <col min="14347" max="14347" width="7.109375" style="67" customWidth="1"/>
    <col min="14348" max="14592" width="9.109375" style="67"/>
    <col min="14593" max="14593" width="9" style="67" customWidth="1"/>
    <col min="14594" max="14594" width="8.44140625" style="67" customWidth="1"/>
    <col min="14595" max="14595" width="7.44140625" style="67" customWidth="1"/>
    <col min="14596" max="14596" width="6" style="67" customWidth="1"/>
    <col min="14597" max="14597" width="9.88671875" style="67" customWidth="1"/>
    <col min="14598" max="14598" width="8.44140625" style="67" customWidth="1"/>
    <col min="14599" max="14599" width="7.5546875" style="67" customWidth="1"/>
    <col min="14600" max="14600" width="7.109375" style="67" customWidth="1"/>
    <col min="14601" max="14602" width="8.5546875" style="67" customWidth="1"/>
    <col min="14603" max="14603" width="7.109375" style="67" customWidth="1"/>
    <col min="14604" max="14848" width="9.109375" style="67"/>
    <col min="14849" max="14849" width="9" style="67" customWidth="1"/>
    <col min="14850" max="14850" width="8.44140625" style="67" customWidth="1"/>
    <col min="14851" max="14851" width="7.44140625" style="67" customWidth="1"/>
    <col min="14852" max="14852" width="6" style="67" customWidth="1"/>
    <col min="14853" max="14853" width="9.88671875" style="67" customWidth="1"/>
    <col min="14854" max="14854" width="8.44140625" style="67" customWidth="1"/>
    <col min="14855" max="14855" width="7.5546875" style="67" customWidth="1"/>
    <col min="14856" max="14856" width="7.109375" style="67" customWidth="1"/>
    <col min="14857" max="14858" width="8.5546875" style="67" customWidth="1"/>
    <col min="14859" max="14859" width="7.109375" style="67" customWidth="1"/>
    <col min="14860" max="15104" width="9.109375" style="67"/>
    <col min="15105" max="15105" width="9" style="67" customWidth="1"/>
    <col min="15106" max="15106" width="8.44140625" style="67" customWidth="1"/>
    <col min="15107" max="15107" width="7.44140625" style="67" customWidth="1"/>
    <col min="15108" max="15108" width="6" style="67" customWidth="1"/>
    <col min="15109" max="15109" width="9.88671875" style="67" customWidth="1"/>
    <col min="15110" max="15110" width="8.44140625" style="67" customWidth="1"/>
    <col min="15111" max="15111" width="7.5546875" style="67" customWidth="1"/>
    <col min="15112" max="15112" width="7.109375" style="67" customWidth="1"/>
    <col min="15113" max="15114" width="8.5546875" style="67" customWidth="1"/>
    <col min="15115" max="15115" width="7.109375" style="67" customWidth="1"/>
    <col min="15116" max="15360" width="9.109375" style="67"/>
    <col min="15361" max="15361" width="9" style="67" customWidth="1"/>
    <col min="15362" max="15362" width="8.44140625" style="67" customWidth="1"/>
    <col min="15363" max="15363" width="7.44140625" style="67" customWidth="1"/>
    <col min="15364" max="15364" width="6" style="67" customWidth="1"/>
    <col min="15365" max="15365" width="9.88671875" style="67" customWidth="1"/>
    <col min="15366" max="15366" width="8.44140625" style="67" customWidth="1"/>
    <col min="15367" max="15367" width="7.5546875" style="67" customWidth="1"/>
    <col min="15368" max="15368" width="7.109375" style="67" customWidth="1"/>
    <col min="15369" max="15370" width="8.5546875" style="67" customWidth="1"/>
    <col min="15371" max="15371" width="7.109375" style="67" customWidth="1"/>
    <col min="15372" max="15616" width="9.109375" style="67"/>
    <col min="15617" max="15617" width="9" style="67" customWidth="1"/>
    <col min="15618" max="15618" width="8.44140625" style="67" customWidth="1"/>
    <col min="15619" max="15619" width="7.44140625" style="67" customWidth="1"/>
    <col min="15620" max="15620" width="6" style="67" customWidth="1"/>
    <col min="15621" max="15621" width="9.88671875" style="67" customWidth="1"/>
    <col min="15622" max="15622" width="8.44140625" style="67" customWidth="1"/>
    <col min="15623" max="15623" width="7.5546875" style="67" customWidth="1"/>
    <col min="15624" max="15624" width="7.109375" style="67" customWidth="1"/>
    <col min="15625" max="15626" width="8.5546875" style="67" customWidth="1"/>
    <col min="15627" max="15627" width="7.109375" style="67" customWidth="1"/>
    <col min="15628" max="15872" width="9.109375" style="67"/>
    <col min="15873" max="15873" width="9" style="67" customWidth="1"/>
    <col min="15874" max="15874" width="8.44140625" style="67" customWidth="1"/>
    <col min="15875" max="15875" width="7.44140625" style="67" customWidth="1"/>
    <col min="15876" max="15876" width="6" style="67" customWidth="1"/>
    <col min="15877" max="15877" width="9.88671875" style="67" customWidth="1"/>
    <col min="15878" max="15878" width="8.44140625" style="67" customWidth="1"/>
    <col min="15879" max="15879" width="7.5546875" style="67" customWidth="1"/>
    <col min="15880" max="15880" width="7.109375" style="67" customWidth="1"/>
    <col min="15881" max="15882" width="8.5546875" style="67" customWidth="1"/>
    <col min="15883" max="15883" width="7.109375" style="67" customWidth="1"/>
    <col min="15884" max="16128" width="9.109375" style="67"/>
    <col min="16129" max="16129" width="9" style="67" customWidth="1"/>
    <col min="16130" max="16130" width="8.44140625" style="67" customWidth="1"/>
    <col min="16131" max="16131" width="7.44140625" style="67" customWidth="1"/>
    <col min="16132" max="16132" width="6" style="67" customWidth="1"/>
    <col min="16133" max="16133" width="9.88671875" style="67" customWidth="1"/>
    <col min="16134" max="16134" width="8.44140625" style="67" customWidth="1"/>
    <col min="16135" max="16135" width="7.5546875" style="67" customWidth="1"/>
    <col min="16136" max="16136" width="7.109375" style="67" customWidth="1"/>
    <col min="16137" max="16138" width="8.5546875" style="67" customWidth="1"/>
    <col min="16139" max="16139" width="7.109375" style="67" customWidth="1"/>
    <col min="16140" max="16384" width="9.109375" style="67"/>
  </cols>
  <sheetData>
    <row r="1" spans="1:15" ht="13.8" thickBot="1" x14ac:dyDescent="0.3"/>
    <row r="2" spans="1:15" ht="13.8" thickBot="1" x14ac:dyDescent="0.3">
      <c r="A2" s="68" t="s">
        <v>141</v>
      </c>
      <c r="B2" s="69"/>
      <c r="C2" s="69"/>
      <c r="D2" s="69"/>
      <c r="E2" s="69" t="s">
        <v>165</v>
      </c>
      <c r="F2" s="70">
        <v>2023</v>
      </c>
    </row>
    <row r="3" spans="1:15" ht="13.8" thickBot="1" x14ac:dyDescent="0.3">
      <c r="A3" s="71"/>
      <c r="E3" s="71"/>
    </row>
    <row r="4" spans="1:15" x14ac:dyDescent="0.25">
      <c r="A4" s="72"/>
      <c r="B4" s="73"/>
      <c r="C4" s="151" t="s">
        <v>142</v>
      </c>
      <c r="D4" s="151"/>
      <c r="E4" s="151" t="s">
        <v>143</v>
      </c>
      <c r="F4" s="151"/>
      <c r="G4" s="151" t="s">
        <v>144</v>
      </c>
      <c r="H4" s="151"/>
      <c r="I4" s="152"/>
      <c r="J4" s="152"/>
      <c r="K4" s="74"/>
      <c r="L4" s="72"/>
    </row>
    <row r="5" spans="1:15" x14ac:dyDescent="0.25">
      <c r="A5" s="75"/>
      <c r="B5" s="77" t="s">
        <v>146</v>
      </c>
      <c r="C5" s="77" t="s">
        <v>147</v>
      </c>
      <c r="D5" s="77" t="s">
        <v>148</v>
      </c>
      <c r="E5" s="77" t="s">
        <v>147</v>
      </c>
      <c r="F5" s="77" t="s">
        <v>148</v>
      </c>
      <c r="G5" s="77" t="s">
        <v>147</v>
      </c>
      <c r="H5" s="78" t="s">
        <v>148</v>
      </c>
      <c r="I5" s="74"/>
      <c r="J5" s="74"/>
      <c r="K5" s="74"/>
      <c r="L5" s="72"/>
    </row>
    <row r="6" spans="1:15" x14ac:dyDescent="0.25">
      <c r="A6" s="75" t="s">
        <v>149</v>
      </c>
      <c r="B6" s="79">
        <f>E18*60*60*24*365/1000</f>
        <v>638.60400000000004</v>
      </c>
      <c r="C6" s="75">
        <v>7.8</v>
      </c>
      <c r="D6" s="80">
        <f>B6*C6/1000000</f>
        <v>4.9811111999999999E-3</v>
      </c>
      <c r="E6" s="75">
        <v>49.7</v>
      </c>
      <c r="F6" s="80">
        <f>B6*E6/1000000</f>
        <v>3.1738618800000007E-2</v>
      </c>
      <c r="G6" s="75">
        <v>14</v>
      </c>
      <c r="H6" s="80">
        <f>B6*G6/1000000</f>
        <v>8.9404559999999994E-3</v>
      </c>
      <c r="I6" s="72"/>
      <c r="J6" s="111"/>
      <c r="K6" s="82"/>
      <c r="L6" s="72"/>
    </row>
    <row r="7" spans="1:15" x14ac:dyDescent="0.25">
      <c r="A7" s="75" t="s">
        <v>150</v>
      </c>
      <c r="B7" s="79">
        <f>O18*60*60*24*365/1000</f>
        <v>567.64799999999991</v>
      </c>
      <c r="C7" s="75">
        <v>8.9</v>
      </c>
      <c r="D7" s="75">
        <f>B7*C7/1000000</f>
        <v>5.0520671999999996E-3</v>
      </c>
      <c r="E7" s="75">
        <v>49.3</v>
      </c>
      <c r="F7" s="80">
        <f>B7*E7/1000000</f>
        <v>2.7985046399999994E-2</v>
      </c>
      <c r="G7" s="75">
        <v>13</v>
      </c>
      <c r="H7" s="80">
        <f>B7*G7/1000000</f>
        <v>7.379423999999999E-3</v>
      </c>
      <c r="I7" s="72"/>
      <c r="J7" s="111"/>
      <c r="K7" s="82"/>
      <c r="L7" s="72"/>
    </row>
    <row r="8" spans="1:15" x14ac:dyDescent="0.25">
      <c r="A8" s="75" t="s">
        <v>151</v>
      </c>
      <c r="B8" s="79">
        <f>E26*60*60*24*365/1000</f>
        <v>741.096</v>
      </c>
      <c r="C8" s="75">
        <v>17</v>
      </c>
      <c r="D8" s="75">
        <f>B8*C8/1000000</f>
        <v>1.2598632E-2</v>
      </c>
      <c r="E8" s="75">
        <v>73.099999999999994</v>
      </c>
      <c r="F8" s="80">
        <f>B8*E8/1000000</f>
        <v>5.4174117599999995E-2</v>
      </c>
      <c r="G8" s="75">
        <v>29</v>
      </c>
      <c r="H8" s="80">
        <f>B8*G8/1000000</f>
        <v>2.1491784E-2</v>
      </c>
      <c r="I8" s="72"/>
      <c r="J8" s="111"/>
      <c r="K8" s="82"/>
      <c r="L8" s="72"/>
    </row>
    <row r="9" spans="1:15" x14ac:dyDescent="0.25">
      <c r="A9" s="75" t="s">
        <v>156</v>
      </c>
      <c r="B9" s="79">
        <f>O26*60*60*24*365/1000</f>
        <v>1348.1640000000002</v>
      </c>
      <c r="C9" s="75">
        <v>8.5</v>
      </c>
      <c r="D9" s="75">
        <f>B9*C9/1000000</f>
        <v>1.1459394000000001E-2</v>
      </c>
      <c r="E9" s="75">
        <v>58.1</v>
      </c>
      <c r="F9" s="80">
        <f>B9*E9/1000000</f>
        <v>7.8328328400000008E-2</v>
      </c>
      <c r="G9" s="75">
        <v>9</v>
      </c>
      <c r="H9" s="80">
        <f>B9*G9/1000000</f>
        <v>1.2133476000000002E-2</v>
      </c>
      <c r="I9" s="72"/>
      <c r="J9" s="111"/>
      <c r="K9" s="82"/>
      <c r="L9" s="72"/>
    </row>
    <row r="10" spans="1:15" ht="13.8" thickBot="1" x14ac:dyDescent="0.3">
      <c r="A10" s="112" t="s">
        <v>73</v>
      </c>
      <c r="B10" s="113">
        <f>SUM(B6:B9)</f>
        <v>3295.5120000000002</v>
      </c>
      <c r="C10" s="114">
        <f>D10*1000000/B10</f>
        <v>10.344736842105263</v>
      </c>
      <c r="D10" s="115">
        <f>SUM(D6:D9)</f>
        <v>3.4091204400000005E-2</v>
      </c>
      <c r="E10" s="114">
        <f>F10*1000000/B10</f>
        <v>58.329665071770329</v>
      </c>
      <c r="F10" s="115">
        <f>SUM(F6:F9)</f>
        <v>0.19222611119999999</v>
      </c>
      <c r="G10" s="113">
        <f>H10*1000000/B10</f>
        <v>15.155502392344497</v>
      </c>
      <c r="H10" s="115">
        <f>SUM(H6:H9)</f>
        <v>4.9945139999999999E-2</v>
      </c>
      <c r="I10" s="116"/>
      <c r="J10" s="117"/>
      <c r="K10" s="118"/>
      <c r="L10" s="72"/>
    </row>
    <row r="11" spans="1:15" ht="13.8" thickBot="1" x14ac:dyDescent="0.3">
      <c r="A11" s="72"/>
      <c r="B11" s="72"/>
      <c r="C11" s="72"/>
      <c r="D11" s="72"/>
      <c r="E11" s="93"/>
      <c r="F11" s="119"/>
      <c r="G11" s="72"/>
      <c r="H11" s="72"/>
      <c r="I11" s="72"/>
      <c r="J11" s="72"/>
      <c r="K11" s="72"/>
      <c r="L11" s="93"/>
    </row>
    <row r="12" spans="1:15" x14ac:dyDescent="0.25">
      <c r="A12" s="73" t="s">
        <v>154</v>
      </c>
      <c r="B12" s="73" t="s">
        <v>143</v>
      </c>
      <c r="C12" s="73" t="s">
        <v>142</v>
      </c>
      <c r="D12" s="73" t="s">
        <v>144</v>
      </c>
      <c r="E12" s="74" t="s">
        <v>155</v>
      </c>
      <c r="J12" s="74"/>
      <c r="K12" s="73" t="s">
        <v>163</v>
      </c>
      <c r="L12" s="73" t="s">
        <v>143</v>
      </c>
      <c r="M12" s="73" t="s">
        <v>142</v>
      </c>
      <c r="N12" s="73" t="s">
        <v>144</v>
      </c>
      <c r="O12" s="74" t="s">
        <v>155</v>
      </c>
    </row>
    <row r="13" spans="1:15" x14ac:dyDescent="0.25">
      <c r="A13" s="77"/>
      <c r="B13" s="148" t="s">
        <v>157</v>
      </c>
      <c r="C13" s="149"/>
      <c r="D13" s="150"/>
      <c r="E13" s="78" t="s">
        <v>158</v>
      </c>
      <c r="J13" s="74"/>
      <c r="K13" s="96"/>
      <c r="L13" s="148" t="s">
        <v>157</v>
      </c>
      <c r="M13" s="149"/>
      <c r="N13" s="150"/>
      <c r="O13" s="78" t="s">
        <v>158</v>
      </c>
    </row>
    <row r="14" spans="1:15" x14ac:dyDescent="0.25">
      <c r="A14" s="75" t="s">
        <v>159</v>
      </c>
      <c r="B14" s="75">
        <v>69.5</v>
      </c>
      <c r="C14" s="75">
        <v>12.7</v>
      </c>
      <c r="D14" s="75">
        <v>16</v>
      </c>
      <c r="E14" s="97">
        <v>1.9E-2</v>
      </c>
      <c r="J14" s="72"/>
      <c r="K14" s="75" t="s">
        <v>159</v>
      </c>
      <c r="L14" s="75">
        <v>45.1</v>
      </c>
      <c r="M14" s="75">
        <v>9</v>
      </c>
      <c r="N14" s="75">
        <v>19</v>
      </c>
      <c r="O14" s="97">
        <v>1.4999999999999999E-2</v>
      </c>
    </row>
    <row r="15" spans="1:15" x14ac:dyDescent="0.25">
      <c r="A15" s="98" t="s">
        <v>166</v>
      </c>
      <c r="B15" s="75">
        <v>45.4</v>
      </c>
      <c r="C15" s="75">
        <v>6.9</v>
      </c>
      <c r="D15" s="75">
        <v>5</v>
      </c>
      <c r="E15" s="97">
        <v>2.5999999999999999E-2</v>
      </c>
      <c r="J15" s="72"/>
      <c r="K15" s="98" t="s">
        <v>166</v>
      </c>
      <c r="L15" s="75">
        <v>81.8</v>
      </c>
      <c r="M15" s="75">
        <v>19.5</v>
      </c>
      <c r="N15" s="75">
        <v>9</v>
      </c>
      <c r="O15" s="97">
        <v>2.9000000000000001E-2</v>
      </c>
    </row>
    <row r="16" spans="1:15" x14ac:dyDescent="0.25">
      <c r="A16" s="99" t="s">
        <v>161</v>
      </c>
      <c r="B16" s="75">
        <v>48.8</v>
      </c>
      <c r="C16" s="75">
        <v>7</v>
      </c>
      <c r="D16" s="75">
        <v>28</v>
      </c>
      <c r="E16" s="97">
        <v>1.7999999999999999E-2</v>
      </c>
      <c r="J16" s="72"/>
      <c r="K16" s="99" t="s">
        <v>161</v>
      </c>
      <c r="L16" s="75">
        <v>39.5</v>
      </c>
      <c r="M16" s="75">
        <v>3.1</v>
      </c>
      <c r="N16" s="75">
        <v>20</v>
      </c>
      <c r="O16" s="97">
        <v>8.9999999999999993E-3</v>
      </c>
    </row>
    <row r="17" spans="1:15" x14ac:dyDescent="0.25">
      <c r="A17" s="99" t="s">
        <v>167</v>
      </c>
      <c r="B17" s="75">
        <v>34.9</v>
      </c>
      <c r="C17" s="75">
        <v>4.4000000000000004</v>
      </c>
      <c r="D17" s="75">
        <v>7</v>
      </c>
      <c r="E17" s="97">
        <v>1.7999999999999999E-2</v>
      </c>
      <c r="J17" s="72"/>
      <c r="K17" s="99" t="s">
        <v>167</v>
      </c>
      <c r="L17" s="75">
        <v>30.7</v>
      </c>
      <c r="M17" s="75">
        <v>4.0999999999999996</v>
      </c>
      <c r="N17" s="75">
        <v>3</v>
      </c>
      <c r="O17" s="97">
        <v>1.9E-2</v>
      </c>
    </row>
    <row r="18" spans="1:15" x14ac:dyDescent="0.25">
      <c r="A18" s="120" t="s">
        <v>147</v>
      </c>
      <c r="B18" s="121">
        <f t="shared" ref="B18:E18" si="0">AVERAGE(B14:B17)</f>
        <v>49.65</v>
      </c>
      <c r="C18" s="121">
        <f t="shared" si="0"/>
        <v>7.75</v>
      </c>
      <c r="D18" s="122">
        <f t="shared" si="0"/>
        <v>14</v>
      </c>
      <c r="E18" s="123">
        <f t="shared" si="0"/>
        <v>2.0250000000000001E-2</v>
      </c>
      <c r="J18" s="105"/>
      <c r="K18" s="124" t="s">
        <v>147</v>
      </c>
      <c r="L18" s="121">
        <f>AVERAGE(L14:L17)</f>
        <v>49.274999999999999</v>
      </c>
      <c r="M18" s="121">
        <f>AVERAGE(M14:M17)</f>
        <v>8.9250000000000007</v>
      </c>
      <c r="N18" s="122">
        <f>AVERAGE(N14:N17)</f>
        <v>12.75</v>
      </c>
      <c r="O18" s="123">
        <f>AVERAGE(O14:O17)</f>
        <v>1.7999999999999999E-2</v>
      </c>
    </row>
    <row r="19" spans="1:15" ht="13.8" thickBot="1" x14ac:dyDescent="0.3">
      <c r="A19" s="72"/>
      <c r="B19" s="72"/>
      <c r="C19" s="72"/>
      <c r="D19" s="72"/>
      <c r="E19" s="125"/>
      <c r="J19" s="72"/>
      <c r="K19" s="72"/>
      <c r="L19" s="72"/>
      <c r="M19" s="72"/>
      <c r="N19" s="72"/>
      <c r="O19" s="72"/>
    </row>
    <row r="20" spans="1:15" x14ac:dyDescent="0.25">
      <c r="A20" s="73" t="s">
        <v>164</v>
      </c>
      <c r="B20" s="73" t="s">
        <v>143</v>
      </c>
      <c r="C20" s="73" t="s">
        <v>142</v>
      </c>
      <c r="D20" s="73" t="s">
        <v>144</v>
      </c>
      <c r="E20" s="74" t="s">
        <v>155</v>
      </c>
      <c r="J20" s="74"/>
      <c r="K20" s="73" t="s">
        <v>156</v>
      </c>
      <c r="L20" s="73" t="s">
        <v>143</v>
      </c>
      <c r="M20" s="73" t="s">
        <v>142</v>
      </c>
      <c r="N20" s="73" t="s">
        <v>144</v>
      </c>
      <c r="O20" s="74" t="s">
        <v>155</v>
      </c>
    </row>
    <row r="21" spans="1:15" ht="12.75" customHeight="1" x14ac:dyDescent="0.25">
      <c r="A21" s="77"/>
      <c r="B21" s="148" t="s">
        <v>157</v>
      </c>
      <c r="C21" s="149"/>
      <c r="D21" s="150"/>
      <c r="E21" s="78" t="s">
        <v>158</v>
      </c>
      <c r="J21" s="74"/>
      <c r="K21" s="96"/>
      <c r="L21" s="148" t="s">
        <v>157</v>
      </c>
      <c r="M21" s="149"/>
      <c r="N21" s="150"/>
      <c r="O21" s="78" t="s">
        <v>158</v>
      </c>
    </row>
    <row r="22" spans="1:15" ht="12.75" customHeight="1" x14ac:dyDescent="0.25">
      <c r="A22" s="75" t="s">
        <v>159</v>
      </c>
      <c r="B22" s="103">
        <v>123</v>
      </c>
      <c r="C22" s="103">
        <v>22</v>
      </c>
      <c r="D22" s="103">
        <v>28</v>
      </c>
      <c r="E22" s="104">
        <v>0.02</v>
      </c>
      <c r="J22" s="72"/>
      <c r="K22" s="75" t="s">
        <v>159</v>
      </c>
      <c r="L22" s="75">
        <v>54.4</v>
      </c>
      <c r="M22" s="75">
        <v>7.7</v>
      </c>
      <c r="N22" s="75">
        <v>12</v>
      </c>
      <c r="O22" s="97">
        <v>0.06</v>
      </c>
    </row>
    <row r="23" spans="1:15" x14ac:dyDescent="0.25">
      <c r="A23" s="98" t="s">
        <v>166</v>
      </c>
      <c r="B23" s="75">
        <v>92</v>
      </c>
      <c r="C23" s="75">
        <v>20.2</v>
      </c>
      <c r="D23" s="75">
        <v>44</v>
      </c>
      <c r="E23" s="97">
        <v>0.03</v>
      </c>
      <c r="J23" s="72"/>
      <c r="K23" s="98" t="s">
        <v>166</v>
      </c>
      <c r="L23" s="103">
        <v>108</v>
      </c>
      <c r="M23" s="103">
        <v>21.9</v>
      </c>
      <c r="N23" s="103">
        <v>5</v>
      </c>
      <c r="O23" s="97">
        <v>3.9E-2</v>
      </c>
    </row>
    <row r="24" spans="1:15" x14ac:dyDescent="0.25">
      <c r="A24" s="99" t="s">
        <v>161</v>
      </c>
      <c r="B24" s="75">
        <v>57.6</v>
      </c>
      <c r="C24" s="75">
        <v>11.5</v>
      </c>
      <c r="D24" s="75">
        <v>21</v>
      </c>
      <c r="E24" s="97">
        <v>3.7999999999999999E-2</v>
      </c>
      <c r="J24" s="72"/>
      <c r="K24" s="99" t="s">
        <v>161</v>
      </c>
      <c r="L24" s="75">
        <v>37</v>
      </c>
      <c r="M24" s="75">
        <v>1.3</v>
      </c>
      <c r="N24" s="75">
        <v>12</v>
      </c>
      <c r="O24" s="97">
        <v>3.3000000000000002E-2</v>
      </c>
    </row>
    <row r="25" spans="1:15" x14ac:dyDescent="0.25">
      <c r="A25" s="99" t="s">
        <v>167</v>
      </c>
      <c r="B25" s="75">
        <v>19.7</v>
      </c>
      <c r="C25" s="75">
        <v>14.1</v>
      </c>
      <c r="D25" s="75">
        <v>22</v>
      </c>
      <c r="E25" s="97">
        <v>6.0000000000000001E-3</v>
      </c>
      <c r="J25" s="72"/>
      <c r="K25" s="99" t="s">
        <v>167</v>
      </c>
      <c r="L25" s="75">
        <v>32.799999999999997</v>
      </c>
      <c r="M25" s="75">
        <v>2.9</v>
      </c>
      <c r="N25" s="75">
        <v>5</v>
      </c>
      <c r="O25" s="97">
        <v>3.9E-2</v>
      </c>
    </row>
    <row r="26" spans="1:15" x14ac:dyDescent="0.25">
      <c r="A26" s="120" t="s">
        <v>147</v>
      </c>
      <c r="B26" s="121">
        <f>AVERAGE(B22:B25)</f>
        <v>73.075000000000003</v>
      </c>
      <c r="C26" s="121">
        <f>AVERAGE(C22:C25)</f>
        <v>16.95</v>
      </c>
      <c r="D26" s="122">
        <f>AVERAGE(D22:D25)</f>
        <v>28.75</v>
      </c>
      <c r="E26" s="123">
        <f>AVERAGE(E22:E25)</f>
        <v>2.35E-2</v>
      </c>
      <c r="J26" s="105"/>
      <c r="K26" s="124" t="s">
        <v>147</v>
      </c>
      <c r="L26" s="121">
        <f>AVERAGE(L22:L25)</f>
        <v>58.05</v>
      </c>
      <c r="M26" s="121">
        <f>AVERAGE(M22:M25)</f>
        <v>8.4499999999999993</v>
      </c>
      <c r="N26" s="122">
        <f>AVERAGE(N22:N25)</f>
        <v>8.5</v>
      </c>
      <c r="O26" s="123">
        <f>AVERAGE(O22:O25)</f>
        <v>4.2750000000000003E-2</v>
      </c>
    </row>
    <row r="29" spans="1:15" ht="13.8" thickBot="1" x14ac:dyDescent="0.3">
      <c r="A29" s="126"/>
    </row>
    <row r="30" spans="1:15" x14ac:dyDescent="0.25">
      <c r="A30" s="72"/>
      <c r="B30" s="73"/>
      <c r="C30" s="151" t="s">
        <v>142</v>
      </c>
      <c r="D30" s="151"/>
      <c r="E30" s="151" t="s">
        <v>143</v>
      </c>
      <c r="F30" s="151"/>
      <c r="G30" s="151" t="s">
        <v>144</v>
      </c>
      <c r="H30" s="151"/>
      <c r="I30" s="152"/>
      <c r="J30" s="152"/>
      <c r="K30" s="74"/>
    </row>
    <row r="31" spans="1:15" x14ac:dyDescent="0.25">
      <c r="A31" s="75"/>
      <c r="B31" s="77" t="s">
        <v>146</v>
      </c>
      <c r="C31" s="77" t="s">
        <v>147</v>
      </c>
      <c r="D31" s="77" t="s">
        <v>148</v>
      </c>
      <c r="E31" s="77" t="s">
        <v>147</v>
      </c>
      <c r="F31" s="77" t="s">
        <v>148</v>
      </c>
      <c r="G31" s="77" t="s">
        <v>147</v>
      </c>
      <c r="H31" s="78" t="s">
        <v>148</v>
      </c>
      <c r="I31" s="74"/>
      <c r="J31" s="74"/>
      <c r="K31" s="74"/>
    </row>
    <row r="32" spans="1:15" x14ac:dyDescent="0.25">
      <c r="A32" s="72" t="s">
        <v>149</v>
      </c>
      <c r="B32" s="82">
        <v>725</v>
      </c>
      <c r="C32" s="72">
        <v>30</v>
      </c>
      <c r="D32" s="111">
        <v>2.1999999999999999E-2</v>
      </c>
      <c r="E32" s="72">
        <v>100</v>
      </c>
      <c r="F32" s="111">
        <v>7.1999999999999995E-2</v>
      </c>
      <c r="G32" s="72">
        <v>50</v>
      </c>
      <c r="H32" s="111">
        <v>3.5999999999999997E-2</v>
      </c>
      <c r="I32" s="72"/>
      <c r="J32" s="111"/>
      <c r="K32" s="82"/>
    </row>
    <row r="33" spans="1:11" x14ac:dyDescent="0.25">
      <c r="A33" s="72" t="s">
        <v>150</v>
      </c>
      <c r="B33" s="82">
        <v>637</v>
      </c>
      <c r="C33" s="72">
        <v>30</v>
      </c>
      <c r="D33" s="72">
        <v>1.9E-2</v>
      </c>
      <c r="E33" s="72">
        <v>100</v>
      </c>
      <c r="F33" s="111">
        <v>6.4000000000000001E-2</v>
      </c>
      <c r="G33" s="72">
        <v>50</v>
      </c>
      <c r="H33" s="111">
        <v>3.1E-2</v>
      </c>
      <c r="I33" s="72"/>
      <c r="J33" s="111"/>
      <c r="K33" s="82"/>
    </row>
    <row r="34" spans="1:11" x14ac:dyDescent="0.25">
      <c r="A34" s="72" t="s">
        <v>164</v>
      </c>
      <c r="B34" s="82">
        <v>788</v>
      </c>
      <c r="C34" s="72">
        <v>30</v>
      </c>
      <c r="D34" s="72">
        <v>2.4E-2</v>
      </c>
      <c r="E34" s="72">
        <v>100</v>
      </c>
      <c r="F34" s="111">
        <v>7.9000000000000001E-2</v>
      </c>
      <c r="G34" s="72">
        <v>50</v>
      </c>
      <c r="H34" s="111">
        <v>3.9E-2</v>
      </c>
      <c r="I34" s="72"/>
      <c r="J34" s="111"/>
      <c r="K34" s="82"/>
    </row>
    <row r="35" spans="1:11" ht="13.8" thickBot="1" x14ac:dyDescent="0.3">
      <c r="A35" s="72" t="s">
        <v>164</v>
      </c>
      <c r="B35" s="82">
        <v>1390</v>
      </c>
      <c r="C35" s="72">
        <v>30</v>
      </c>
      <c r="D35" s="72">
        <v>4.2000000000000003E-2</v>
      </c>
      <c r="E35" s="72">
        <v>100</v>
      </c>
      <c r="F35" s="111">
        <v>0.13900000000000001</v>
      </c>
      <c r="G35" s="72">
        <v>50</v>
      </c>
      <c r="H35" s="111">
        <v>6.9000000000000006E-2</v>
      </c>
      <c r="I35" s="116"/>
      <c r="J35" s="117"/>
      <c r="K35" s="118"/>
    </row>
    <row r="36" spans="1:11" ht="13.8" thickBot="1" x14ac:dyDescent="0.3">
      <c r="A36" s="127" t="s">
        <v>73</v>
      </c>
      <c r="B36" s="128">
        <f>SUM(B32:B35)</f>
        <v>3540</v>
      </c>
      <c r="C36" s="129"/>
      <c r="D36" s="130">
        <f>SUM(D32:D35)</f>
        <v>0.10700000000000001</v>
      </c>
      <c r="E36" s="129"/>
      <c r="F36" s="130">
        <f>SUM(F32:F35)</f>
        <v>0.35400000000000004</v>
      </c>
      <c r="G36" s="128"/>
      <c r="H36" s="130">
        <f>SUM(H32:H35)</f>
        <v>0.17500000000000002</v>
      </c>
    </row>
  </sheetData>
  <mergeCells count="12">
    <mergeCell ref="B21:D21"/>
    <mergeCell ref="L21:N21"/>
    <mergeCell ref="C30:D30"/>
    <mergeCell ref="E30:F30"/>
    <mergeCell ref="G30:H30"/>
    <mergeCell ref="I30:J30"/>
    <mergeCell ref="L13:N13"/>
    <mergeCell ref="C4:D4"/>
    <mergeCell ref="E4:F4"/>
    <mergeCell ref="G4:H4"/>
    <mergeCell ref="I4:J4"/>
    <mergeCell ref="B13:D13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2C0C-FE7F-4088-A0C5-E13CE1AE2A6D}">
  <dimension ref="A1:N29"/>
  <sheetViews>
    <sheetView workbookViewId="0">
      <selection activeCell="B11" sqref="B11"/>
    </sheetView>
  </sheetViews>
  <sheetFormatPr defaultRowHeight="13.2" x14ac:dyDescent="0.25"/>
  <cols>
    <col min="1" max="1" width="9" style="67" customWidth="1"/>
    <col min="2" max="3" width="7.44140625" style="67" customWidth="1"/>
    <col min="4" max="4" width="6" style="67" customWidth="1"/>
    <col min="5" max="5" width="9.33203125" style="67" customWidth="1"/>
    <col min="6" max="6" width="8.44140625" style="67" customWidth="1"/>
    <col min="7" max="7" width="7.88671875" style="67" customWidth="1"/>
    <col min="8" max="8" width="10.44140625" style="67" customWidth="1"/>
    <col min="9" max="10" width="8.5546875" style="67" customWidth="1"/>
    <col min="11" max="11" width="7.109375" style="67" customWidth="1"/>
    <col min="12" max="256" width="9.109375" style="67"/>
    <col min="257" max="257" width="9" style="67" customWidth="1"/>
    <col min="258" max="259" width="7.44140625" style="67" customWidth="1"/>
    <col min="260" max="260" width="6" style="67" customWidth="1"/>
    <col min="261" max="261" width="9.33203125" style="67" customWidth="1"/>
    <col min="262" max="262" width="8.44140625" style="67" customWidth="1"/>
    <col min="263" max="263" width="7.88671875" style="67" customWidth="1"/>
    <col min="264" max="264" width="10.44140625" style="67" customWidth="1"/>
    <col min="265" max="266" width="8.5546875" style="67" customWidth="1"/>
    <col min="267" max="267" width="7.109375" style="67" customWidth="1"/>
    <col min="268" max="512" width="9.109375" style="67"/>
    <col min="513" max="513" width="9" style="67" customWidth="1"/>
    <col min="514" max="515" width="7.44140625" style="67" customWidth="1"/>
    <col min="516" max="516" width="6" style="67" customWidth="1"/>
    <col min="517" max="517" width="9.33203125" style="67" customWidth="1"/>
    <col min="518" max="518" width="8.44140625" style="67" customWidth="1"/>
    <col min="519" max="519" width="7.88671875" style="67" customWidth="1"/>
    <col min="520" max="520" width="10.44140625" style="67" customWidth="1"/>
    <col min="521" max="522" width="8.5546875" style="67" customWidth="1"/>
    <col min="523" max="523" width="7.109375" style="67" customWidth="1"/>
    <col min="524" max="768" width="9.109375" style="67"/>
    <col min="769" max="769" width="9" style="67" customWidth="1"/>
    <col min="770" max="771" width="7.44140625" style="67" customWidth="1"/>
    <col min="772" max="772" width="6" style="67" customWidth="1"/>
    <col min="773" max="773" width="9.33203125" style="67" customWidth="1"/>
    <col min="774" max="774" width="8.44140625" style="67" customWidth="1"/>
    <col min="775" max="775" width="7.88671875" style="67" customWidth="1"/>
    <col min="776" max="776" width="10.44140625" style="67" customWidth="1"/>
    <col min="777" max="778" width="8.5546875" style="67" customWidth="1"/>
    <col min="779" max="779" width="7.109375" style="67" customWidth="1"/>
    <col min="780" max="1024" width="9.109375" style="67"/>
    <col min="1025" max="1025" width="9" style="67" customWidth="1"/>
    <col min="1026" max="1027" width="7.44140625" style="67" customWidth="1"/>
    <col min="1028" max="1028" width="6" style="67" customWidth="1"/>
    <col min="1029" max="1029" width="9.33203125" style="67" customWidth="1"/>
    <col min="1030" max="1030" width="8.44140625" style="67" customWidth="1"/>
    <col min="1031" max="1031" width="7.88671875" style="67" customWidth="1"/>
    <col min="1032" max="1032" width="10.44140625" style="67" customWidth="1"/>
    <col min="1033" max="1034" width="8.5546875" style="67" customWidth="1"/>
    <col min="1035" max="1035" width="7.109375" style="67" customWidth="1"/>
    <col min="1036" max="1280" width="9.109375" style="67"/>
    <col min="1281" max="1281" width="9" style="67" customWidth="1"/>
    <col min="1282" max="1283" width="7.44140625" style="67" customWidth="1"/>
    <col min="1284" max="1284" width="6" style="67" customWidth="1"/>
    <col min="1285" max="1285" width="9.33203125" style="67" customWidth="1"/>
    <col min="1286" max="1286" width="8.44140625" style="67" customWidth="1"/>
    <col min="1287" max="1287" width="7.88671875" style="67" customWidth="1"/>
    <col min="1288" max="1288" width="10.44140625" style="67" customWidth="1"/>
    <col min="1289" max="1290" width="8.5546875" style="67" customWidth="1"/>
    <col min="1291" max="1291" width="7.109375" style="67" customWidth="1"/>
    <col min="1292" max="1536" width="9.109375" style="67"/>
    <col min="1537" max="1537" width="9" style="67" customWidth="1"/>
    <col min="1538" max="1539" width="7.44140625" style="67" customWidth="1"/>
    <col min="1540" max="1540" width="6" style="67" customWidth="1"/>
    <col min="1541" max="1541" width="9.33203125" style="67" customWidth="1"/>
    <col min="1542" max="1542" width="8.44140625" style="67" customWidth="1"/>
    <col min="1543" max="1543" width="7.88671875" style="67" customWidth="1"/>
    <col min="1544" max="1544" width="10.44140625" style="67" customWidth="1"/>
    <col min="1545" max="1546" width="8.5546875" style="67" customWidth="1"/>
    <col min="1547" max="1547" width="7.109375" style="67" customWidth="1"/>
    <col min="1548" max="1792" width="9.109375" style="67"/>
    <col min="1793" max="1793" width="9" style="67" customWidth="1"/>
    <col min="1794" max="1795" width="7.44140625" style="67" customWidth="1"/>
    <col min="1796" max="1796" width="6" style="67" customWidth="1"/>
    <col min="1797" max="1797" width="9.33203125" style="67" customWidth="1"/>
    <col min="1798" max="1798" width="8.44140625" style="67" customWidth="1"/>
    <col min="1799" max="1799" width="7.88671875" style="67" customWidth="1"/>
    <col min="1800" max="1800" width="10.44140625" style="67" customWidth="1"/>
    <col min="1801" max="1802" width="8.5546875" style="67" customWidth="1"/>
    <col min="1803" max="1803" width="7.109375" style="67" customWidth="1"/>
    <col min="1804" max="2048" width="9.109375" style="67"/>
    <col min="2049" max="2049" width="9" style="67" customWidth="1"/>
    <col min="2050" max="2051" width="7.44140625" style="67" customWidth="1"/>
    <col min="2052" max="2052" width="6" style="67" customWidth="1"/>
    <col min="2053" max="2053" width="9.33203125" style="67" customWidth="1"/>
    <col min="2054" max="2054" width="8.44140625" style="67" customWidth="1"/>
    <col min="2055" max="2055" width="7.88671875" style="67" customWidth="1"/>
    <col min="2056" max="2056" width="10.44140625" style="67" customWidth="1"/>
    <col min="2057" max="2058" width="8.5546875" style="67" customWidth="1"/>
    <col min="2059" max="2059" width="7.109375" style="67" customWidth="1"/>
    <col min="2060" max="2304" width="9.109375" style="67"/>
    <col min="2305" max="2305" width="9" style="67" customWidth="1"/>
    <col min="2306" max="2307" width="7.44140625" style="67" customWidth="1"/>
    <col min="2308" max="2308" width="6" style="67" customWidth="1"/>
    <col min="2309" max="2309" width="9.33203125" style="67" customWidth="1"/>
    <col min="2310" max="2310" width="8.44140625" style="67" customWidth="1"/>
    <col min="2311" max="2311" width="7.88671875" style="67" customWidth="1"/>
    <col min="2312" max="2312" width="10.44140625" style="67" customWidth="1"/>
    <col min="2313" max="2314" width="8.5546875" style="67" customWidth="1"/>
    <col min="2315" max="2315" width="7.109375" style="67" customWidth="1"/>
    <col min="2316" max="2560" width="9.109375" style="67"/>
    <col min="2561" max="2561" width="9" style="67" customWidth="1"/>
    <col min="2562" max="2563" width="7.44140625" style="67" customWidth="1"/>
    <col min="2564" max="2564" width="6" style="67" customWidth="1"/>
    <col min="2565" max="2565" width="9.33203125" style="67" customWidth="1"/>
    <col min="2566" max="2566" width="8.44140625" style="67" customWidth="1"/>
    <col min="2567" max="2567" width="7.88671875" style="67" customWidth="1"/>
    <col min="2568" max="2568" width="10.44140625" style="67" customWidth="1"/>
    <col min="2569" max="2570" width="8.5546875" style="67" customWidth="1"/>
    <col min="2571" max="2571" width="7.109375" style="67" customWidth="1"/>
    <col min="2572" max="2816" width="9.109375" style="67"/>
    <col min="2817" max="2817" width="9" style="67" customWidth="1"/>
    <col min="2818" max="2819" width="7.44140625" style="67" customWidth="1"/>
    <col min="2820" max="2820" width="6" style="67" customWidth="1"/>
    <col min="2821" max="2821" width="9.33203125" style="67" customWidth="1"/>
    <col min="2822" max="2822" width="8.44140625" style="67" customWidth="1"/>
    <col min="2823" max="2823" width="7.88671875" style="67" customWidth="1"/>
    <col min="2824" max="2824" width="10.44140625" style="67" customWidth="1"/>
    <col min="2825" max="2826" width="8.5546875" style="67" customWidth="1"/>
    <col min="2827" max="2827" width="7.109375" style="67" customWidth="1"/>
    <col min="2828" max="3072" width="9.109375" style="67"/>
    <col min="3073" max="3073" width="9" style="67" customWidth="1"/>
    <col min="3074" max="3075" width="7.44140625" style="67" customWidth="1"/>
    <col min="3076" max="3076" width="6" style="67" customWidth="1"/>
    <col min="3077" max="3077" width="9.33203125" style="67" customWidth="1"/>
    <col min="3078" max="3078" width="8.44140625" style="67" customWidth="1"/>
    <col min="3079" max="3079" width="7.88671875" style="67" customWidth="1"/>
    <col min="3080" max="3080" width="10.44140625" style="67" customWidth="1"/>
    <col min="3081" max="3082" width="8.5546875" style="67" customWidth="1"/>
    <col min="3083" max="3083" width="7.109375" style="67" customWidth="1"/>
    <col min="3084" max="3328" width="9.109375" style="67"/>
    <col min="3329" max="3329" width="9" style="67" customWidth="1"/>
    <col min="3330" max="3331" width="7.44140625" style="67" customWidth="1"/>
    <col min="3332" max="3332" width="6" style="67" customWidth="1"/>
    <col min="3333" max="3333" width="9.33203125" style="67" customWidth="1"/>
    <col min="3334" max="3334" width="8.44140625" style="67" customWidth="1"/>
    <col min="3335" max="3335" width="7.88671875" style="67" customWidth="1"/>
    <col min="3336" max="3336" width="10.44140625" style="67" customWidth="1"/>
    <col min="3337" max="3338" width="8.5546875" style="67" customWidth="1"/>
    <col min="3339" max="3339" width="7.109375" style="67" customWidth="1"/>
    <col min="3340" max="3584" width="9.109375" style="67"/>
    <col min="3585" max="3585" width="9" style="67" customWidth="1"/>
    <col min="3586" max="3587" width="7.44140625" style="67" customWidth="1"/>
    <col min="3588" max="3588" width="6" style="67" customWidth="1"/>
    <col min="3589" max="3589" width="9.33203125" style="67" customWidth="1"/>
    <col min="3590" max="3590" width="8.44140625" style="67" customWidth="1"/>
    <col min="3591" max="3591" width="7.88671875" style="67" customWidth="1"/>
    <col min="3592" max="3592" width="10.44140625" style="67" customWidth="1"/>
    <col min="3593" max="3594" width="8.5546875" style="67" customWidth="1"/>
    <col min="3595" max="3595" width="7.109375" style="67" customWidth="1"/>
    <col min="3596" max="3840" width="9.109375" style="67"/>
    <col min="3841" max="3841" width="9" style="67" customWidth="1"/>
    <col min="3842" max="3843" width="7.44140625" style="67" customWidth="1"/>
    <col min="3844" max="3844" width="6" style="67" customWidth="1"/>
    <col min="3845" max="3845" width="9.33203125" style="67" customWidth="1"/>
    <col min="3846" max="3846" width="8.44140625" style="67" customWidth="1"/>
    <col min="3847" max="3847" width="7.88671875" style="67" customWidth="1"/>
    <col min="3848" max="3848" width="10.44140625" style="67" customWidth="1"/>
    <col min="3849" max="3850" width="8.5546875" style="67" customWidth="1"/>
    <col min="3851" max="3851" width="7.109375" style="67" customWidth="1"/>
    <col min="3852" max="4096" width="9.109375" style="67"/>
    <col min="4097" max="4097" width="9" style="67" customWidth="1"/>
    <col min="4098" max="4099" width="7.44140625" style="67" customWidth="1"/>
    <col min="4100" max="4100" width="6" style="67" customWidth="1"/>
    <col min="4101" max="4101" width="9.33203125" style="67" customWidth="1"/>
    <col min="4102" max="4102" width="8.44140625" style="67" customWidth="1"/>
    <col min="4103" max="4103" width="7.88671875" style="67" customWidth="1"/>
    <col min="4104" max="4104" width="10.44140625" style="67" customWidth="1"/>
    <col min="4105" max="4106" width="8.5546875" style="67" customWidth="1"/>
    <col min="4107" max="4107" width="7.109375" style="67" customWidth="1"/>
    <col min="4108" max="4352" width="9.109375" style="67"/>
    <col min="4353" max="4353" width="9" style="67" customWidth="1"/>
    <col min="4354" max="4355" width="7.44140625" style="67" customWidth="1"/>
    <col min="4356" max="4356" width="6" style="67" customWidth="1"/>
    <col min="4357" max="4357" width="9.33203125" style="67" customWidth="1"/>
    <col min="4358" max="4358" width="8.44140625" style="67" customWidth="1"/>
    <col min="4359" max="4359" width="7.88671875" style="67" customWidth="1"/>
    <col min="4360" max="4360" width="10.44140625" style="67" customWidth="1"/>
    <col min="4361" max="4362" width="8.5546875" style="67" customWidth="1"/>
    <col min="4363" max="4363" width="7.109375" style="67" customWidth="1"/>
    <col min="4364" max="4608" width="9.109375" style="67"/>
    <col min="4609" max="4609" width="9" style="67" customWidth="1"/>
    <col min="4610" max="4611" width="7.44140625" style="67" customWidth="1"/>
    <col min="4612" max="4612" width="6" style="67" customWidth="1"/>
    <col min="4613" max="4613" width="9.33203125" style="67" customWidth="1"/>
    <col min="4614" max="4614" width="8.44140625" style="67" customWidth="1"/>
    <col min="4615" max="4615" width="7.88671875" style="67" customWidth="1"/>
    <col min="4616" max="4616" width="10.44140625" style="67" customWidth="1"/>
    <col min="4617" max="4618" width="8.5546875" style="67" customWidth="1"/>
    <col min="4619" max="4619" width="7.109375" style="67" customWidth="1"/>
    <col min="4620" max="4864" width="9.109375" style="67"/>
    <col min="4865" max="4865" width="9" style="67" customWidth="1"/>
    <col min="4866" max="4867" width="7.44140625" style="67" customWidth="1"/>
    <col min="4868" max="4868" width="6" style="67" customWidth="1"/>
    <col min="4869" max="4869" width="9.33203125" style="67" customWidth="1"/>
    <col min="4870" max="4870" width="8.44140625" style="67" customWidth="1"/>
    <col min="4871" max="4871" width="7.88671875" style="67" customWidth="1"/>
    <col min="4872" max="4872" width="10.44140625" style="67" customWidth="1"/>
    <col min="4873" max="4874" width="8.5546875" style="67" customWidth="1"/>
    <col min="4875" max="4875" width="7.109375" style="67" customWidth="1"/>
    <col min="4876" max="5120" width="9.109375" style="67"/>
    <col min="5121" max="5121" width="9" style="67" customWidth="1"/>
    <col min="5122" max="5123" width="7.44140625" style="67" customWidth="1"/>
    <col min="5124" max="5124" width="6" style="67" customWidth="1"/>
    <col min="5125" max="5125" width="9.33203125" style="67" customWidth="1"/>
    <col min="5126" max="5126" width="8.44140625" style="67" customWidth="1"/>
    <col min="5127" max="5127" width="7.88671875" style="67" customWidth="1"/>
    <col min="5128" max="5128" width="10.44140625" style="67" customWidth="1"/>
    <col min="5129" max="5130" width="8.5546875" style="67" customWidth="1"/>
    <col min="5131" max="5131" width="7.109375" style="67" customWidth="1"/>
    <col min="5132" max="5376" width="9.109375" style="67"/>
    <col min="5377" max="5377" width="9" style="67" customWidth="1"/>
    <col min="5378" max="5379" width="7.44140625" style="67" customWidth="1"/>
    <col min="5380" max="5380" width="6" style="67" customWidth="1"/>
    <col min="5381" max="5381" width="9.33203125" style="67" customWidth="1"/>
    <col min="5382" max="5382" width="8.44140625" style="67" customWidth="1"/>
    <col min="5383" max="5383" width="7.88671875" style="67" customWidth="1"/>
    <col min="5384" max="5384" width="10.44140625" style="67" customWidth="1"/>
    <col min="5385" max="5386" width="8.5546875" style="67" customWidth="1"/>
    <col min="5387" max="5387" width="7.109375" style="67" customWidth="1"/>
    <col min="5388" max="5632" width="9.109375" style="67"/>
    <col min="5633" max="5633" width="9" style="67" customWidth="1"/>
    <col min="5634" max="5635" width="7.44140625" style="67" customWidth="1"/>
    <col min="5636" max="5636" width="6" style="67" customWidth="1"/>
    <col min="5637" max="5637" width="9.33203125" style="67" customWidth="1"/>
    <col min="5638" max="5638" width="8.44140625" style="67" customWidth="1"/>
    <col min="5639" max="5639" width="7.88671875" style="67" customWidth="1"/>
    <col min="5640" max="5640" width="10.44140625" style="67" customWidth="1"/>
    <col min="5641" max="5642" width="8.5546875" style="67" customWidth="1"/>
    <col min="5643" max="5643" width="7.109375" style="67" customWidth="1"/>
    <col min="5644" max="5888" width="9.109375" style="67"/>
    <col min="5889" max="5889" width="9" style="67" customWidth="1"/>
    <col min="5890" max="5891" width="7.44140625" style="67" customWidth="1"/>
    <col min="5892" max="5892" width="6" style="67" customWidth="1"/>
    <col min="5893" max="5893" width="9.33203125" style="67" customWidth="1"/>
    <col min="5894" max="5894" width="8.44140625" style="67" customWidth="1"/>
    <col min="5895" max="5895" width="7.88671875" style="67" customWidth="1"/>
    <col min="5896" max="5896" width="10.44140625" style="67" customWidth="1"/>
    <col min="5897" max="5898" width="8.5546875" style="67" customWidth="1"/>
    <col min="5899" max="5899" width="7.109375" style="67" customWidth="1"/>
    <col min="5900" max="6144" width="9.109375" style="67"/>
    <col min="6145" max="6145" width="9" style="67" customWidth="1"/>
    <col min="6146" max="6147" width="7.44140625" style="67" customWidth="1"/>
    <col min="6148" max="6148" width="6" style="67" customWidth="1"/>
    <col min="6149" max="6149" width="9.33203125" style="67" customWidth="1"/>
    <col min="6150" max="6150" width="8.44140625" style="67" customWidth="1"/>
    <col min="6151" max="6151" width="7.88671875" style="67" customWidth="1"/>
    <col min="6152" max="6152" width="10.44140625" style="67" customWidth="1"/>
    <col min="6153" max="6154" width="8.5546875" style="67" customWidth="1"/>
    <col min="6155" max="6155" width="7.109375" style="67" customWidth="1"/>
    <col min="6156" max="6400" width="9.109375" style="67"/>
    <col min="6401" max="6401" width="9" style="67" customWidth="1"/>
    <col min="6402" max="6403" width="7.44140625" style="67" customWidth="1"/>
    <col min="6404" max="6404" width="6" style="67" customWidth="1"/>
    <col min="6405" max="6405" width="9.33203125" style="67" customWidth="1"/>
    <col min="6406" max="6406" width="8.44140625" style="67" customWidth="1"/>
    <col min="6407" max="6407" width="7.88671875" style="67" customWidth="1"/>
    <col min="6408" max="6408" width="10.44140625" style="67" customWidth="1"/>
    <col min="6409" max="6410" width="8.5546875" style="67" customWidth="1"/>
    <col min="6411" max="6411" width="7.109375" style="67" customWidth="1"/>
    <col min="6412" max="6656" width="9.109375" style="67"/>
    <col min="6657" max="6657" width="9" style="67" customWidth="1"/>
    <col min="6658" max="6659" width="7.44140625" style="67" customWidth="1"/>
    <col min="6660" max="6660" width="6" style="67" customWidth="1"/>
    <col min="6661" max="6661" width="9.33203125" style="67" customWidth="1"/>
    <col min="6662" max="6662" width="8.44140625" style="67" customWidth="1"/>
    <col min="6663" max="6663" width="7.88671875" style="67" customWidth="1"/>
    <col min="6664" max="6664" width="10.44140625" style="67" customWidth="1"/>
    <col min="6665" max="6666" width="8.5546875" style="67" customWidth="1"/>
    <col min="6667" max="6667" width="7.109375" style="67" customWidth="1"/>
    <col min="6668" max="6912" width="9.109375" style="67"/>
    <col min="6913" max="6913" width="9" style="67" customWidth="1"/>
    <col min="6914" max="6915" width="7.44140625" style="67" customWidth="1"/>
    <col min="6916" max="6916" width="6" style="67" customWidth="1"/>
    <col min="6917" max="6917" width="9.33203125" style="67" customWidth="1"/>
    <col min="6918" max="6918" width="8.44140625" style="67" customWidth="1"/>
    <col min="6919" max="6919" width="7.88671875" style="67" customWidth="1"/>
    <col min="6920" max="6920" width="10.44140625" style="67" customWidth="1"/>
    <col min="6921" max="6922" width="8.5546875" style="67" customWidth="1"/>
    <col min="6923" max="6923" width="7.109375" style="67" customWidth="1"/>
    <col min="6924" max="7168" width="9.109375" style="67"/>
    <col min="7169" max="7169" width="9" style="67" customWidth="1"/>
    <col min="7170" max="7171" width="7.44140625" style="67" customWidth="1"/>
    <col min="7172" max="7172" width="6" style="67" customWidth="1"/>
    <col min="7173" max="7173" width="9.33203125" style="67" customWidth="1"/>
    <col min="7174" max="7174" width="8.44140625" style="67" customWidth="1"/>
    <col min="7175" max="7175" width="7.88671875" style="67" customWidth="1"/>
    <col min="7176" max="7176" width="10.44140625" style="67" customWidth="1"/>
    <col min="7177" max="7178" width="8.5546875" style="67" customWidth="1"/>
    <col min="7179" max="7179" width="7.109375" style="67" customWidth="1"/>
    <col min="7180" max="7424" width="9.109375" style="67"/>
    <col min="7425" max="7425" width="9" style="67" customWidth="1"/>
    <col min="7426" max="7427" width="7.44140625" style="67" customWidth="1"/>
    <col min="7428" max="7428" width="6" style="67" customWidth="1"/>
    <col min="7429" max="7429" width="9.33203125" style="67" customWidth="1"/>
    <col min="7430" max="7430" width="8.44140625" style="67" customWidth="1"/>
    <col min="7431" max="7431" width="7.88671875" style="67" customWidth="1"/>
    <col min="7432" max="7432" width="10.44140625" style="67" customWidth="1"/>
    <col min="7433" max="7434" width="8.5546875" style="67" customWidth="1"/>
    <col min="7435" max="7435" width="7.109375" style="67" customWidth="1"/>
    <col min="7436" max="7680" width="9.109375" style="67"/>
    <col min="7681" max="7681" width="9" style="67" customWidth="1"/>
    <col min="7682" max="7683" width="7.44140625" style="67" customWidth="1"/>
    <col min="7684" max="7684" width="6" style="67" customWidth="1"/>
    <col min="7685" max="7685" width="9.33203125" style="67" customWidth="1"/>
    <col min="7686" max="7686" width="8.44140625" style="67" customWidth="1"/>
    <col min="7687" max="7687" width="7.88671875" style="67" customWidth="1"/>
    <col min="7688" max="7688" width="10.44140625" style="67" customWidth="1"/>
    <col min="7689" max="7690" width="8.5546875" style="67" customWidth="1"/>
    <col min="7691" max="7691" width="7.109375" style="67" customWidth="1"/>
    <col min="7692" max="7936" width="9.109375" style="67"/>
    <col min="7937" max="7937" width="9" style="67" customWidth="1"/>
    <col min="7938" max="7939" width="7.44140625" style="67" customWidth="1"/>
    <col min="7940" max="7940" width="6" style="67" customWidth="1"/>
    <col min="7941" max="7941" width="9.33203125" style="67" customWidth="1"/>
    <col min="7942" max="7942" width="8.44140625" style="67" customWidth="1"/>
    <col min="7943" max="7943" width="7.88671875" style="67" customWidth="1"/>
    <col min="7944" max="7944" width="10.44140625" style="67" customWidth="1"/>
    <col min="7945" max="7946" width="8.5546875" style="67" customWidth="1"/>
    <col min="7947" max="7947" width="7.109375" style="67" customWidth="1"/>
    <col min="7948" max="8192" width="9.109375" style="67"/>
    <col min="8193" max="8193" width="9" style="67" customWidth="1"/>
    <col min="8194" max="8195" width="7.44140625" style="67" customWidth="1"/>
    <col min="8196" max="8196" width="6" style="67" customWidth="1"/>
    <col min="8197" max="8197" width="9.33203125" style="67" customWidth="1"/>
    <col min="8198" max="8198" width="8.44140625" style="67" customWidth="1"/>
    <col min="8199" max="8199" width="7.88671875" style="67" customWidth="1"/>
    <col min="8200" max="8200" width="10.44140625" style="67" customWidth="1"/>
    <col min="8201" max="8202" width="8.5546875" style="67" customWidth="1"/>
    <col min="8203" max="8203" width="7.109375" style="67" customWidth="1"/>
    <col min="8204" max="8448" width="9.109375" style="67"/>
    <col min="8449" max="8449" width="9" style="67" customWidth="1"/>
    <col min="8450" max="8451" width="7.44140625" style="67" customWidth="1"/>
    <col min="8452" max="8452" width="6" style="67" customWidth="1"/>
    <col min="8453" max="8453" width="9.33203125" style="67" customWidth="1"/>
    <col min="8454" max="8454" width="8.44140625" style="67" customWidth="1"/>
    <col min="8455" max="8455" width="7.88671875" style="67" customWidth="1"/>
    <col min="8456" max="8456" width="10.44140625" style="67" customWidth="1"/>
    <col min="8457" max="8458" width="8.5546875" style="67" customWidth="1"/>
    <col min="8459" max="8459" width="7.109375" style="67" customWidth="1"/>
    <col min="8460" max="8704" width="9.109375" style="67"/>
    <col min="8705" max="8705" width="9" style="67" customWidth="1"/>
    <col min="8706" max="8707" width="7.44140625" style="67" customWidth="1"/>
    <col min="8708" max="8708" width="6" style="67" customWidth="1"/>
    <col min="8709" max="8709" width="9.33203125" style="67" customWidth="1"/>
    <col min="8710" max="8710" width="8.44140625" style="67" customWidth="1"/>
    <col min="8711" max="8711" width="7.88671875" style="67" customWidth="1"/>
    <col min="8712" max="8712" width="10.44140625" style="67" customWidth="1"/>
    <col min="8713" max="8714" width="8.5546875" style="67" customWidth="1"/>
    <col min="8715" max="8715" width="7.109375" style="67" customWidth="1"/>
    <col min="8716" max="8960" width="9.109375" style="67"/>
    <col min="8961" max="8961" width="9" style="67" customWidth="1"/>
    <col min="8962" max="8963" width="7.44140625" style="67" customWidth="1"/>
    <col min="8964" max="8964" width="6" style="67" customWidth="1"/>
    <col min="8965" max="8965" width="9.33203125" style="67" customWidth="1"/>
    <col min="8966" max="8966" width="8.44140625" style="67" customWidth="1"/>
    <col min="8967" max="8967" width="7.88671875" style="67" customWidth="1"/>
    <col min="8968" max="8968" width="10.44140625" style="67" customWidth="1"/>
    <col min="8969" max="8970" width="8.5546875" style="67" customWidth="1"/>
    <col min="8971" max="8971" width="7.109375" style="67" customWidth="1"/>
    <col min="8972" max="9216" width="9.109375" style="67"/>
    <col min="9217" max="9217" width="9" style="67" customWidth="1"/>
    <col min="9218" max="9219" width="7.44140625" style="67" customWidth="1"/>
    <col min="9220" max="9220" width="6" style="67" customWidth="1"/>
    <col min="9221" max="9221" width="9.33203125" style="67" customWidth="1"/>
    <col min="9222" max="9222" width="8.44140625" style="67" customWidth="1"/>
    <col min="9223" max="9223" width="7.88671875" style="67" customWidth="1"/>
    <col min="9224" max="9224" width="10.44140625" style="67" customWidth="1"/>
    <col min="9225" max="9226" width="8.5546875" style="67" customWidth="1"/>
    <col min="9227" max="9227" width="7.109375" style="67" customWidth="1"/>
    <col min="9228" max="9472" width="9.109375" style="67"/>
    <col min="9473" max="9473" width="9" style="67" customWidth="1"/>
    <col min="9474" max="9475" width="7.44140625" style="67" customWidth="1"/>
    <col min="9476" max="9476" width="6" style="67" customWidth="1"/>
    <col min="9477" max="9477" width="9.33203125" style="67" customWidth="1"/>
    <col min="9478" max="9478" width="8.44140625" style="67" customWidth="1"/>
    <col min="9479" max="9479" width="7.88671875" style="67" customWidth="1"/>
    <col min="9480" max="9480" width="10.44140625" style="67" customWidth="1"/>
    <col min="9481" max="9482" width="8.5546875" style="67" customWidth="1"/>
    <col min="9483" max="9483" width="7.109375" style="67" customWidth="1"/>
    <col min="9484" max="9728" width="9.109375" style="67"/>
    <col min="9729" max="9729" width="9" style="67" customWidth="1"/>
    <col min="9730" max="9731" width="7.44140625" style="67" customWidth="1"/>
    <col min="9732" max="9732" width="6" style="67" customWidth="1"/>
    <col min="9733" max="9733" width="9.33203125" style="67" customWidth="1"/>
    <col min="9734" max="9734" width="8.44140625" style="67" customWidth="1"/>
    <col min="9735" max="9735" width="7.88671875" style="67" customWidth="1"/>
    <col min="9736" max="9736" width="10.44140625" style="67" customWidth="1"/>
    <col min="9737" max="9738" width="8.5546875" style="67" customWidth="1"/>
    <col min="9739" max="9739" width="7.109375" style="67" customWidth="1"/>
    <col min="9740" max="9984" width="9.109375" style="67"/>
    <col min="9985" max="9985" width="9" style="67" customWidth="1"/>
    <col min="9986" max="9987" width="7.44140625" style="67" customWidth="1"/>
    <col min="9988" max="9988" width="6" style="67" customWidth="1"/>
    <col min="9989" max="9989" width="9.33203125" style="67" customWidth="1"/>
    <col min="9990" max="9990" width="8.44140625" style="67" customWidth="1"/>
    <col min="9991" max="9991" width="7.88671875" style="67" customWidth="1"/>
    <col min="9992" max="9992" width="10.44140625" style="67" customWidth="1"/>
    <col min="9993" max="9994" width="8.5546875" style="67" customWidth="1"/>
    <col min="9995" max="9995" width="7.109375" style="67" customWidth="1"/>
    <col min="9996" max="10240" width="9.109375" style="67"/>
    <col min="10241" max="10241" width="9" style="67" customWidth="1"/>
    <col min="10242" max="10243" width="7.44140625" style="67" customWidth="1"/>
    <col min="10244" max="10244" width="6" style="67" customWidth="1"/>
    <col min="10245" max="10245" width="9.33203125" style="67" customWidth="1"/>
    <col min="10246" max="10246" width="8.44140625" style="67" customWidth="1"/>
    <col min="10247" max="10247" width="7.88671875" style="67" customWidth="1"/>
    <col min="10248" max="10248" width="10.44140625" style="67" customWidth="1"/>
    <col min="10249" max="10250" width="8.5546875" style="67" customWidth="1"/>
    <col min="10251" max="10251" width="7.109375" style="67" customWidth="1"/>
    <col min="10252" max="10496" width="9.109375" style="67"/>
    <col min="10497" max="10497" width="9" style="67" customWidth="1"/>
    <col min="10498" max="10499" width="7.44140625" style="67" customWidth="1"/>
    <col min="10500" max="10500" width="6" style="67" customWidth="1"/>
    <col min="10501" max="10501" width="9.33203125" style="67" customWidth="1"/>
    <col min="10502" max="10502" width="8.44140625" style="67" customWidth="1"/>
    <col min="10503" max="10503" width="7.88671875" style="67" customWidth="1"/>
    <col min="10504" max="10504" width="10.44140625" style="67" customWidth="1"/>
    <col min="10505" max="10506" width="8.5546875" style="67" customWidth="1"/>
    <col min="10507" max="10507" width="7.109375" style="67" customWidth="1"/>
    <col min="10508" max="10752" width="9.109375" style="67"/>
    <col min="10753" max="10753" width="9" style="67" customWidth="1"/>
    <col min="10754" max="10755" width="7.44140625" style="67" customWidth="1"/>
    <col min="10756" max="10756" width="6" style="67" customWidth="1"/>
    <col min="10757" max="10757" width="9.33203125" style="67" customWidth="1"/>
    <col min="10758" max="10758" width="8.44140625" style="67" customWidth="1"/>
    <col min="10759" max="10759" width="7.88671875" style="67" customWidth="1"/>
    <col min="10760" max="10760" width="10.44140625" style="67" customWidth="1"/>
    <col min="10761" max="10762" width="8.5546875" style="67" customWidth="1"/>
    <col min="10763" max="10763" width="7.109375" style="67" customWidth="1"/>
    <col min="10764" max="11008" width="9.109375" style="67"/>
    <col min="11009" max="11009" width="9" style="67" customWidth="1"/>
    <col min="11010" max="11011" width="7.44140625" style="67" customWidth="1"/>
    <col min="11012" max="11012" width="6" style="67" customWidth="1"/>
    <col min="11013" max="11013" width="9.33203125" style="67" customWidth="1"/>
    <col min="11014" max="11014" width="8.44140625" style="67" customWidth="1"/>
    <col min="11015" max="11015" width="7.88671875" style="67" customWidth="1"/>
    <col min="11016" max="11016" width="10.44140625" style="67" customWidth="1"/>
    <col min="11017" max="11018" width="8.5546875" style="67" customWidth="1"/>
    <col min="11019" max="11019" width="7.109375" style="67" customWidth="1"/>
    <col min="11020" max="11264" width="9.109375" style="67"/>
    <col min="11265" max="11265" width="9" style="67" customWidth="1"/>
    <col min="11266" max="11267" width="7.44140625" style="67" customWidth="1"/>
    <col min="11268" max="11268" width="6" style="67" customWidth="1"/>
    <col min="11269" max="11269" width="9.33203125" style="67" customWidth="1"/>
    <col min="11270" max="11270" width="8.44140625" style="67" customWidth="1"/>
    <col min="11271" max="11271" width="7.88671875" style="67" customWidth="1"/>
    <col min="11272" max="11272" width="10.44140625" style="67" customWidth="1"/>
    <col min="11273" max="11274" width="8.5546875" style="67" customWidth="1"/>
    <col min="11275" max="11275" width="7.109375" style="67" customWidth="1"/>
    <col min="11276" max="11520" width="9.109375" style="67"/>
    <col min="11521" max="11521" width="9" style="67" customWidth="1"/>
    <col min="11522" max="11523" width="7.44140625" style="67" customWidth="1"/>
    <col min="11524" max="11524" width="6" style="67" customWidth="1"/>
    <col min="11525" max="11525" width="9.33203125" style="67" customWidth="1"/>
    <col min="11526" max="11526" width="8.44140625" style="67" customWidth="1"/>
    <col min="11527" max="11527" width="7.88671875" style="67" customWidth="1"/>
    <col min="11528" max="11528" width="10.44140625" style="67" customWidth="1"/>
    <col min="11529" max="11530" width="8.5546875" style="67" customWidth="1"/>
    <col min="11531" max="11531" width="7.109375" style="67" customWidth="1"/>
    <col min="11532" max="11776" width="9.109375" style="67"/>
    <col min="11777" max="11777" width="9" style="67" customWidth="1"/>
    <col min="11778" max="11779" width="7.44140625" style="67" customWidth="1"/>
    <col min="11780" max="11780" width="6" style="67" customWidth="1"/>
    <col min="11781" max="11781" width="9.33203125" style="67" customWidth="1"/>
    <col min="11782" max="11782" width="8.44140625" style="67" customWidth="1"/>
    <col min="11783" max="11783" width="7.88671875" style="67" customWidth="1"/>
    <col min="11784" max="11784" width="10.44140625" style="67" customWidth="1"/>
    <col min="11785" max="11786" width="8.5546875" style="67" customWidth="1"/>
    <col min="11787" max="11787" width="7.109375" style="67" customWidth="1"/>
    <col min="11788" max="12032" width="9.109375" style="67"/>
    <col min="12033" max="12033" width="9" style="67" customWidth="1"/>
    <col min="12034" max="12035" width="7.44140625" style="67" customWidth="1"/>
    <col min="12036" max="12036" width="6" style="67" customWidth="1"/>
    <col min="12037" max="12037" width="9.33203125" style="67" customWidth="1"/>
    <col min="12038" max="12038" width="8.44140625" style="67" customWidth="1"/>
    <col min="12039" max="12039" width="7.88671875" style="67" customWidth="1"/>
    <col min="12040" max="12040" width="10.44140625" style="67" customWidth="1"/>
    <col min="12041" max="12042" width="8.5546875" style="67" customWidth="1"/>
    <col min="12043" max="12043" width="7.109375" style="67" customWidth="1"/>
    <col min="12044" max="12288" width="9.109375" style="67"/>
    <col min="12289" max="12289" width="9" style="67" customWidth="1"/>
    <col min="12290" max="12291" width="7.44140625" style="67" customWidth="1"/>
    <col min="12292" max="12292" width="6" style="67" customWidth="1"/>
    <col min="12293" max="12293" width="9.33203125" style="67" customWidth="1"/>
    <col min="12294" max="12294" width="8.44140625" style="67" customWidth="1"/>
    <col min="12295" max="12295" width="7.88671875" style="67" customWidth="1"/>
    <col min="12296" max="12296" width="10.44140625" style="67" customWidth="1"/>
    <col min="12297" max="12298" width="8.5546875" style="67" customWidth="1"/>
    <col min="12299" max="12299" width="7.109375" style="67" customWidth="1"/>
    <col min="12300" max="12544" width="9.109375" style="67"/>
    <col min="12545" max="12545" width="9" style="67" customWidth="1"/>
    <col min="12546" max="12547" width="7.44140625" style="67" customWidth="1"/>
    <col min="12548" max="12548" width="6" style="67" customWidth="1"/>
    <col min="12549" max="12549" width="9.33203125" style="67" customWidth="1"/>
    <col min="12550" max="12550" width="8.44140625" style="67" customWidth="1"/>
    <col min="12551" max="12551" width="7.88671875" style="67" customWidth="1"/>
    <col min="12552" max="12552" width="10.44140625" style="67" customWidth="1"/>
    <col min="12553" max="12554" width="8.5546875" style="67" customWidth="1"/>
    <col min="12555" max="12555" width="7.109375" style="67" customWidth="1"/>
    <col min="12556" max="12800" width="9.109375" style="67"/>
    <col min="12801" max="12801" width="9" style="67" customWidth="1"/>
    <col min="12802" max="12803" width="7.44140625" style="67" customWidth="1"/>
    <col min="12804" max="12804" width="6" style="67" customWidth="1"/>
    <col min="12805" max="12805" width="9.33203125" style="67" customWidth="1"/>
    <col min="12806" max="12806" width="8.44140625" style="67" customWidth="1"/>
    <col min="12807" max="12807" width="7.88671875" style="67" customWidth="1"/>
    <col min="12808" max="12808" width="10.44140625" style="67" customWidth="1"/>
    <col min="12809" max="12810" width="8.5546875" style="67" customWidth="1"/>
    <col min="12811" max="12811" width="7.109375" style="67" customWidth="1"/>
    <col min="12812" max="13056" width="9.109375" style="67"/>
    <col min="13057" max="13057" width="9" style="67" customWidth="1"/>
    <col min="13058" max="13059" width="7.44140625" style="67" customWidth="1"/>
    <col min="13060" max="13060" width="6" style="67" customWidth="1"/>
    <col min="13061" max="13061" width="9.33203125" style="67" customWidth="1"/>
    <col min="13062" max="13062" width="8.44140625" style="67" customWidth="1"/>
    <col min="13063" max="13063" width="7.88671875" style="67" customWidth="1"/>
    <col min="13064" max="13064" width="10.44140625" style="67" customWidth="1"/>
    <col min="13065" max="13066" width="8.5546875" style="67" customWidth="1"/>
    <col min="13067" max="13067" width="7.109375" style="67" customWidth="1"/>
    <col min="13068" max="13312" width="9.109375" style="67"/>
    <col min="13313" max="13313" width="9" style="67" customWidth="1"/>
    <col min="13314" max="13315" width="7.44140625" style="67" customWidth="1"/>
    <col min="13316" max="13316" width="6" style="67" customWidth="1"/>
    <col min="13317" max="13317" width="9.33203125" style="67" customWidth="1"/>
    <col min="13318" max="13318" width="8.44140625" style="67" customWidth="1"/>
    <col min="13319" max="13319" width="7.88671875" style="67" customWidth="1"/>
    <col min="13320" max="13320" width="10.44140625" style="67" customWidth="1"/>
    <col min="13321" max="13322" width="8.5546875" style="67" customWidth="1"/>
    <col min="13323" max="13323" width="7.109375" style="67" customWidth="1"/>
    <col min="13324" max="13568" width="9.109375" style="67"/>
    <col min="13569" max="13569" width="9" style="67" customWidth="1"/>
    <col min="13570" max="13571" width="7.44140625" style="67" customWidth="1"/>
    <col min="13572" max="13572" width="6" style="67" customWidth="1"/>
    <col min="13573" max="13573" width="9.33203125" style="67" customWidth="1"/>
    <col min="13574" max="13574" width="8.44140625" style="67" customWidth="1"/>
    <col min="13575" max="13575" width="7.88671875" style="67" customWidth="1"/>
    <col min="13576" max="13576" width="10.44140625" style="67" customWidth="1"/>
    <col min="13577" max="13578" width="8.5546875" style="67" customWidth="1"/>
    <col min="13579" max="13579" width="7.109375" style="67" customWidth="1"/>
    <col min="13580" max="13824" width="9.109375" style="67"/>
    <col min="13825" max="13825" width="9" style="67" customWidth="1"/>
    <col min="13826" max="13827" width="7.44140625" style="67" customWidth="1"/>
    <col min="13828" max="13828" width="6" style="67" customWidth="1"/>
    <col min="13829" max="13829" width="9.33203125" style="67" customWidth="1"/>
    <col min="13830" max="13830" width="8.44140625" style="67" customWidth="1"/>
    <col min="13831" max="13831" width="7.88671875" style="67" customWidth="1"/>
    <col min="13832" max="13832" width="10.44140625" style="67" customWidth="1"/>
    <col min="13833" max="13834" width="8.5546875" style="67" customWidth="1"/>
    <col min="13835" max="13835" width="7.109375" style="67" customWidth="1"/>
    <col min="13836" max="14080" width="9.109375" style="67"/>
    <col min="14081" max="14081" width="9" style="67" customWidth="1"/>
    <col min="14082" max="14083" width="7.44140625" style="67" customWidth="1"/>
    <col min="14084" max="14084" width="6" style="67" customWidth="1"/>
    <col min="14085" max="14085" width="9.33203125" style="67" customWidth="1"/>
    <col min="14086" max="14086" width="8.44140625" style="67" customWidth="1"/>
    <col min="14087" max="14087" width="7.88671875" style="67" customWidth="1"/>
    <col min="14088" max="14088" width="10.44140625" style="67" customWidth="1"/>
    <col min="14089" max="14090" width="8.5546875" style="67" customWidth="1"/>
    <col min="14091" max="14091" width="7.109375" style="67" customWidth="1"/>
    <col min="14092" max="14336" width="9.109375" style="67"/>
    <col min="14337" max="14337" width="9" style="67" customWidth="1"/>
    <col min="14338" max="14339" width="7.44140625" style="67" customWidth="1"/>
    <col min="14340" max="14340" width="6" style="67" customWidth="1"/>
    <col min="14341" max="14341" width="9.33203125" style="67" customWidth="1"/>
    <col min="14342" max="14342" width="8.44140625" style="67" customWidth="1"/>
    <col min="14343" max="14343" width="7.88671875" style="67" customWidth="1"/>
    <col min="14344" max="14344" width="10.44140625" style="67" customWidth="1"/>
    <col min="14345" max="14346" width="8.5546875" style="67" customWidth="1"/>
    <col min="14347" max="14347" width="7.109375" style="67" customWidth="1"/>
    <col min="14348" max="14592" width="9.109375" style="67"/>
    <col min="14593" max="14593" width="9" style="67" customWidth="1"/>
    <col min="14594" max="14595" width="7.44140625" style="67" customWidth="1"/>
    <col min="14596" max="14596" width="6" style="67" customWidth="1"/>
    <col min="14597" max="14597" width="9.33203125" style="67" customWidth="1"/>
    <col min="14598" max="14598" width="8.44140625" style="67" customWidth="1"/>
    <col min="14599" max="14599" width="7.88671875" style="67" customWidth="1"/>
    <col min="14600" max="14600" width="10.44140625" style="67" customWidth="1"/>
    <col min="14601" max="14602" width="8.5546875" style="67" customWidth="1"/>
    <col min="14603" max="14603" width="7.109375" style="67" customWidth="1"/>
    <col min="14604" max="14848" width="9.109375" style="67"/>
    <col min="14849" max="14849" width="9" style="67" customWidth="1"/>
    <col min="14850" max="14851" width="7.44140625" style="67" customWidth="1"/>
    <col min="14852" max="14852" width="6" style="67" customWidth="1"/>
    <col min="14853" max="14853" width="9.33203125" style="67" customWidth="1"/>
    <col min="14854" max="14854" width="8.44140625" style="67" customWidth="1"/>
    <col min="14855" max="14855" width="7.88671875" style="67" customWidth="1"/>
    <col min="14856" max="14856" width="10.44140625" style="67" customWidth="1"/>
    <col min="14857" max="14858" width="8.5546875" style="67" customWidth="1"/>
    <col min="14859" max="14859" width="7.109375" style="67" customWidth="1"/>
    <col min="14860" max="15104" width="9.109375" style="67"/>
    <col min="15105" max="15105" width="9" style="67" customWidth="1"/>
    <col min="15106" max="15107" width="7.44140625" style="67" customWidth="1"/>
    <col min="15108" max="15108" width="6" style="67" customWidth="1"/>
    <col min="15109" max="15109" width="9.33203125" style="67" customWidth="1"/>
    <col min="15110" max="15110" width="8.44140625" style="67" customWidth="1"/>
    <col min="15111" max="15111" width="7.88671875" style="67" customWidth="1"/>
    <col min="15112" max="15112" width="10.44140625" style="67" customWidth="1"/>
    <col min="15113" max="15114" width="8.5546875" style="67" customWidth="1"/>
    <col min="15115" max="15115" width="7.109375" style="67" customWidth="1"/>
    <col min="15116" max="15360" width="9.109375" style="67"/>
    <col min="15361" max="15361" width="9" style="67" customWidth="1"/>
    <col min="15362" max="15363" width="7.44140625" style="67" customWidth="1"/>
    <col min="15364" max="15364" width="6" style="67" customWidth="1"/>
    <col min="15365" max="15365" width="9.33203125" style="67" customWidth="1"/>
    <col min="15366" max="15366" width="8.44140625" style="67" customWidth="1"/>
    <col min="15367" max="15367" width="7.88671875" style="67" customWidth="1"/>
    <col min="15368" max="15368" width="10.44140625" style="67" customWidth="1"/>
    <col min="15369" max="15370" width="8.5546875" style="67" customWidth="1"/>
    <col min="15371" max="15371" width="7.109375" style="67" customWidth="1"/>
    <col min="15372" max="15616" width="9.109375" style="67"/>
    <col min="15617" max="15617" width="9" style="67" customWidth="1"/>
    <col min="15618" max="15619" width="7.44140625" style="67" customWidth="1"/>
    <col min="15620" max="15620" width="6" style="67" customWidth="1"/>
    <col min="15621" max="15621" width="9.33203125" style="67" customWidth="1"/>
    <col min="15622" max="15622" width="8.44140625" style="67" customWidth="1"/>
    <col min="15623" max="15623" width="7.88671875" style="67" customWidth="1"/>
    <col min="15624" max="15624" width="10.44140625" style="67" customWidth="1"/>
    <col min="15625" max="15626" width="8.5546875" style="67" customWidth="1"/>
    <col min="15627" max="15627" width="7.109375" style="67" customWidth="1"/>
    <col min="15628" max="15872" width="9.109375" style="67"/>
    <col min="15873" max="15873" width="9" style="67" customWidth="1"/>
    <col min="15874" max="15875" width="7.44140625" style="67" customWidth="1"/>
    <col min="15876" max="15876" width="6" style="67" customWidth="1"/>
    <col min="15877" max="15877" width="9.33203125" style="67" customWidth="1"/>
    <col min="15878" max="15878" width="8.44140625" style="67" customWidth="1"/>
    <col min="15879" max="15879" width="7.88671875" style="67" customWidth="1"/>
    <col min="15880" max="15880" width="10.44140625" style="67" customWidth="1"/>
    <col min="15881" max="15882" width="8.5546875" style="67" customWidth="1"/>
    <col min="15883" max="15883" width="7.109375" style="67" customWidth="1"/>
    <col min="15884" max="16128" width="9.109375" style="67"/>
    <col min="16129" max="16129" width="9" style="67" customWidth="1"/>
    <col min="16130" max="16131" width="7.44140625" style="67" customWidth="1"/>
    <col min="16132" max="16132" width="6" style="67" customWidth="1"/>
    <col min="16133" max="16133" width="9.33203125" style="67" customWidth="1"/>
    <col min="16134" max="16134" width="8.44140625" style="67" customWidth="1"/>
    <col min="16135" max="16135" width="7.88671875" style="67" customWidth="1"/>
    <col min="16136" max="16136" width="10.44140625" style="67" customWidth="1"/>
    <col min="16137" max="16138" width="8.5546875" style="67" customWidth="1"/>
    <col min="16139" max="16139" width="7.109375" style="67" customWidth="1"/>
    <col min="16140" max="16384" width="9.109375" style="67"/>
  </cols>
  <sheetData>
    <row r="1" spans="1:14" ht="13.8" thickBot="1" x14ac:dyDescent="0.3"/>
    <row r="2" spans="1:14" ht="13.8" thickBot="1" x14ac:dyDescent="0.3">
      <c r="A2" s="68" t="s">
        <v>141</v>
      </c>
      <c r="B2" s="69"/>
      <c r="C2" s="69"/>
      <c r="D2" s="69"/>
      <c r="E2" s="69" t="s">
        <v>168</v>
      </c>
      <c r="F2" s="70">
        <v>2023</v>
      </c>
    </row>
    <row r="3" spans="1:14" ht="13.8" thickBot="1" x14ac:dyDescent="0.3">
      <c r="A3" s="71"/>
      <c r="E3" s="71"/>
    </row>
    <row r="4" spans="1:14" x14ac:dyDescent="0.25">
      <c r="A4" s="72"/>
      <c r="B4" s="73"/>
      <c r="C4" s="151" t="s">
        <v>142</v>
      </c>
      <c r="D4" s="151"/>
      <c r="E4" s="151" t="s">
        <v>143</v>
      </c>
      <c r="F4" s="151"/>
      <c r="G4" s="151" t="s">
        <v>144</v>
      </c>
      <c r="H4" s="151"/>
      <c r="L4" s="72"/>
    </row>
    <row r="5" spans="1:14" x14ac:dyDescent="0.25">
      <c r="A5" s="75"/>
      <c r="B5" s="77" t="s">
        <v>146</v>
      </c>
      <c r="C5" s="77" t="s">
        <v>147</v>
      </c>
      <c r="D5" s="77" t="s">
        <v>148</v>
      </c>
      <c r="E5" s="77" t="s">
        <v>147</v>
      </c>
      <c r="F5" s="77" t="s">
        <v>148</v>
      </c>
      <c r="G5" s="77" t="s">
        <v>147</v>
      </c>
      <c r="H5" s="77" t="s">
        <v>148</v>
      </c>
      <c r="L5" s="72"/>
    </row>
    <row r="6" spans="1:14" x14ac:dyDescent="0.25">
      <c r="A6" s="72" t="s">
        <v>149</v>
      </c>
      <c r="B6" s="79">
        <f>E15*60*60*24*365/1000</f>
        <v>457.27199999999999</v>
      </c>
      <c r="C6" s="72">
        <v>4.8</v>
      </c>
      <c r="D6" s="72">
        <f>B6*C6/1000000</f>
        <v>2.1949056000000002E-3</v>
      </c>
      <c r="E6" s="72">
        <v>39.9</v>
      </c>
      <c r="F6" s="111">
        <f>B6*E6/1000000</f>
        <v>1.8245152800000001E-2</v>
      </c>
      <c r="G6" s="72">
        <v>10</v>
      </c>
      <c r="H6" s="111">
        <f>B6*G6/1000000</f>
        <v>4.5727200000000006E-3</v>
      </c>
      <c r="L6" s="72"/>
    </row>
    <row r="7" spans="1:14" x14ac:dyDescent="0.25">
      <c r="A7" s="72" t="s">
        <v>150</v>
      </c>
      <c r="B7" s="79">
        <f>N15*60*60*24*365/1000</f>
        <v>1056.4559999999999</v>
      </c>
      <c r="C7" s="72">
        <v>3.8</v>
      </c>
      <c r="D7" s="72">
        <f>B7*C7/1000000</f>
        <v>4.0145327999999997E-3</v>
      </c>
      <c r="E7" s="72">
        <v>31.6</v>
      </c>
      <c r="F7" s="111">
        <f>B7*E7/1000000</f>
        <v>3.33840096E-2</v>
      </c>
      <c r="G7" s="72">
        <v>3</v>
      </c>
      <c r="H7" s="111">
        <f>B7*G7/1000000</f>
        <v>3.1693679999999997E-3</v>
      </c>
      <c r="L7" s="72"/>
    </row>
    <row r="8" spans="1:14" ht="13.8" thickBot="1" x14ac:dyDescent="0.3">
      <c r="A8" s="72" t="s">
        <v>164</v>
      </c>
      <c r="B8" s="79">
        <f>E21*60*60*24*365/1000</f>
        <v>788.4</v>
      </c>
      <c r="C8" s="72">
        <v>2.2000000000000002</v>
      </c>
      <c r="D8" s="72">
        <f>B8*C8/1000000</f>
        <v>1.73448E-3</v>
      </c>
      <c r="E8" s="72">
        <v>22.3</v>
      </c>
      <c r="F8" s="111">
        <f>B8*E8/1000000</f>
        <v>1.7581320000000001E-2</v>
      </c>
      <c r="G8" s="72">
        <v>9</v>
      </c>
      <c r="H8" s="111">
        <f>B8*G8/1000000</f>
        <v>7.0955999999999997E-3</v>
      </c>
      <c r="L8" s="72"/>
    </row>
    <row r="9" spans="1:14" ht="13.8" thickBot="1" x14ac:dyDescent="0.3">
      <c r="A9" s="131" t="s">
        <v>73</v>
      </c>
      <c r="B9" s="132">
        <f>SUM(B6:B8)</f>
        <v>2302.1279999999997</v>
      </c>
      <c r="C9" s="133">
        <f>D9*1000000/B9</f>
        <v>3.4506849315068497</v>
      </c>
      <c r="D9" s="134">
        <f>SUM(D6:D8)</f>
        <v>7.9439183999999996E-3</v>
      </c>
      <c r="E9" s="133">
        <f>F9*1000000/B9</f>
        <v>30.063698630136987</v>
      </c>
      <c r="F9" s="135">
        <f>SUM(F6:F8)</f>
        <v>6.9210482399999995E-2</v>
      </c>
      <c r="G9" s="132">
        <f>H9*1000000/B9</f>
        <v>6.4452054794520555</v>
      </c>
      <c r="H9" s="135">
        <f>SUM(H6:H8)</f>
        <v>1.4837688E-2</v>
      </c>
      <c r="L9" s="72"/>
    </row>
    <row r="10" spans="1:14" ht="13.8" thickBot="1" x14ac:dyDescent="0.3">
      <c r="A10" s="72"/>
      <c r="B10" s="72"/>
      <c r="C10" s="72"/>
      <c r="D10" s="72"/>
      <c r="E10" s="93"/>
      <c r="F10" s="119"/>
      <c r="G10" s="72"/>
      <c r="H10" s="72"/>
      <c r="I10" s="72"/>
      <c r="J10" s="72"/>
      <c r="K10" s="72"/>
      <c r="L10" s="93"/>
      <c r="M10" s="126"/>
      <c r="N10" s="126"/>
    </row>
    <row r="11" spans="1:14" x14ac:dyDescent="0.25">
      <c r="A11" s="73" t="s">
        <v>154</v>
      </c>
      <c r="B11" s="73" t="s">
        <v>143</v>
      </c>
      <c r="C11" s="73" t="s">
        <v>142</v>
      </c>
      <c r="D11" s="73" t="s">
        <v>144</v>
      </c>
      <c r="E11" s="74" t="s">
        <v>155</v>
      </c>
      <c r="J11" s="73" t="s">
        <v>163</v>
      </c>
      <c r="K11" s="73" t="s">
        <v>143</v>
      </c>
      <c r="L11" s="73" t="s">
        <v>142</v>
      </c>
      <c r="M11" s="73" t="s">
        <v>144</v>
      </c>
      <c r="N11" s="74" t="s">
        <v>155</v>
      </c>
    </row>
    <row r="12" spans="1:14" x14ac:dyDescent="0.25">
      <c r="A12" s="77"/>
      <c r="B12" s="148" t="s">
        <v>157</v>
      </c>
      <c r="C12" s="149"/>
      <c r="D12" s="150"/>
      <c r="E12" s="78" t="s">
        <v>158</v>
      </c>
      <c r="J12" s="77"/>
      <c r="K12" s="148" t="s">
        <v>157</v>
      </c>
      <c r="L12" s="149"/>
      <c r="M12" s="150"/>
      <c r="N12" s="78" t="s">
        <v>158</v>
      </c>
    </row>
    <row r="13" spans="1:14" x14ac:dyDescent="0.25">
      <c r="A13" s="75" t="s">
        <v>159</v>
      </c>
      <c r="B13" s="75">
        <v>51.1</v>
      </c>
      <c r="C13" s="75">
        <v>5.7</v>
      </c>
      <c r="D13" s="75">
        <v>7</v>
      </c>
      <c r="E13" s="97">
        <v>1.9E-2</v>
      </c>
      <c r="J13" s="75" t="s">
        <v>159</v>
      </c>
      <c r="K13" s="75">
        <v>27.4</v>
      </c>
      <c r="L13" s="75">
        <v>2.8</v>
      </c>
      <c r="M13" s="75">
        <v>4</v>
      </c>
      <c r="N13" s="97">
        <v>2.9000000000000001E-2</v>
      </c>
    </row>
    <row r="14" spans="1:14" x14ac:dyDescent="0.25">
      <c r="A14" s="99" t="s">
        <v>161</v>
      </c>
      <c r="B14" s="75">
        <v>28.6</v>
      </c>
      <c r="C14" s="75">
        <v>3.8</v>
      </c>
      <c r="D14" s="75">
        <v>13</v>
      </c>
      <c r="E14" s="97">
        <v>0.01</v>
      </c>
      <c r="J14" s="99" t="s">
        <v>161</v>
      </c>
      <c r="K14" s="75">
        <v>35.799999999999997</v>
      </c>
      <c r="L14" s="75">
        <v>4.7</v>
      </c>
      <c r="M14" s="75">
        <v>1</v>
      </c>
      <c r="N14" s="97">
        <v>3.7999999999999999E-2</v>
      </c>
    </row>
    <row r="15" spans="1:14" x14ac:dyDescent="0.25">
      <c r="A15" s="77" t="s">
        <v>147</v>
      </c>
      <c r="B15" s="100">
        <f>AVERAGE(B13:B14)</f>
        <v>39.85</v>
      </c>
      <c r="C15" s="100">
        <f>AVERAGE(C13:C14)</f>
        <v>4.75</v>
      </c>
      <c r="D15" s="79">
        <f>AVERAGE(D13:D14)</f>
        <v>10</v>
      </c>
      <c r="E15" s="81">
        <f>AVERAGE(E13:E14)</f>
        <v>1.4499999999999999E-2</v>
      </c>
      <c r="J15" s="77" t="s">
        <v>147</v>
      </c>
      <c r="K15" s="100">
        <f>AVERAGE(K13:K14)</f>
        <v>31.599999999999998</v>
      </c>
      <c r="L15" s="100">
        <f>AVERAGE(L13:L14)</f>
        <v>3.75</v>
      </c>
      <c r="M15" s="79">
        <f>AVERAGE(M13:M14)</f>
        <v>2.5</v>
      </c>
      <c r="N15" s="81">
        <f>AVERAGE(N13:N14)</f>
        <v>3.3500000000000002E-2</v>
      </c>
    </row>
    <row r="16" spans="1:14" ht="13.8" thickBot="1" x14ac:dyDescent="0.3">
      <c r="A16" s="72"/>
      <c r="B16" s="72"/>
      <c r="C16" s="72"/>
      <c r="D16" s="72"/>
      <c r="E16" s="125"/>
      <c r="I16" s="72"/>
      <c r="J16" s="72"/>
      <c r="K16" s="72"/>
      <c r="L16" s="72"/>
    </row>
    <row r="17" spans="1:12" x14ac:dyDescent="0.25">
      <c r="A17" s="73" t="s">
        <v>164</v>
      </c>
      <c r="B17" s="73" t="s">
        <v>143</v>
      </c>
      <c r="C17" s="73" t="s">
        <v>142</v>
      </c>
      <c r="D17" s="73" t="s">
        <v>144</v>
      </c>
      <c r="E17" s="74" t="s">
        <v>155</v>
      </c>
      <c r="I17" s="72"/>
      <c r="J17" s="72"/>
      <c r="K17" s="72"/>
      <c r="L17" s="72"/>
    </row>
    <row r="18" spans="1:12" x14ac:dyDescent="0.25">
      <c r="A18" s="77"/>
      <c r="B18" s="148" t="s">
        <v>157</v>
      </c>
      <c r="C18" s="149"/>
      <c r="D18" s="150"/>
      <c r="E18" s="78" t="s">
        <v>158</v>
      </c>
      <c r="I18" s="72"/>
      <c r="J18" s="72"/>
      <c r="K18" s="72"/>
      <c r="L18" s="72"/>
    </row>
    <row r="19" spans="1:12" x14ac:dyDescent="0.25">
      <c r="A19" s="75" t="s">
        <v>159</v>
      </c>
      <c r="B19" s="75">
        <v>25.5</v>
      </c>
      <c r="C19" s="75">
        <v>2.6</v>
      </c>
      <c r="D19" s="75">
        <v>8</v>
      </c>
      <c r="E19" s="97">
        <v>0.03</v>
      </c>
      <c r="I19" s="72"/>
      <c r="J19" s="72"/>
      <c r="K19" s="72"/>
      <c r="L19" s="72"/>
    </row>
    <row r="20" spans="1:12" x14ac:dyDescent="0.25">
      <c r="A20" s="99" t="s">
        <v>161</v>
      </c>
      <c r="B20" s="75">
        <v>19.100000000000001</v>
      </c>
      <c r="C20" s="75">
        <v>1.7</v>
      </c>
      <c r="D20" s="75">
        <v>10</v>
      </c>
      <c r="E20" s="97">
        <v>0.02</v>
      </c>
      <c r="I20" s="72"/>
      <c r="J20" s="72"/>
      <c r="K20" s="72"/>
      <c r="L20" s="72"/>
    </row>
    <row r="21" spans="1:12" x14ac:dyDescent="0.25">
      <c r="A21" s="77" t="s">
        <v>147</v>
      </c>
      <c r="B21" s="100">
        <f t="shared" ref="B21:E21" si="0">AVERAGE(B19:B20)</f>
        <v>22.3</v>
      </c>
      <c r="C21" s="100">
        <f t="shared" si="0"/>
        <v>2.15</v>
      </c>
      <c r="D21" s="79">
        <f t="shared" si="0"/>
        <v>9</v>
      </c>
      <c r="E21" s="81">
        <f t="shared" si="0"/>
        <v>2.5000000000000001E-2</v>
      </c>
      <c r="I21" s="72"/>
      <c r="J21" s="72"/>
      <c r="K21" s="72"/>
      <c r="L21" s="72"/>
    </row>
    <row r="24" spans="1:12" x14ac:dyDescent="0.25">
      <c r="A24" s="76"/>
      <c r="B24" s="76"/>
      <c r="C24" s="153" t="s">
        <v>142</v>
      </c>
      <c r="D24" s="154"/>
      <c r="E24" s="153" t="s">
        <v>143</v>
      </c>
      <c r="F24" s="154"/>
      <c r="G24" s="153" t="s">
        <v>144</v>
      </c>
      <c r="H24" s="154"/>
    </row>
    <row r="25" spans="1:12" x14ac:dyDescent="0.25">
      <c r="A25" s="76"/>
      <c r="B25" s="76" t="s">
        <v>146</v>
      </c>
      <c r="C25" s="76" t="s">
        <v>147</v>
      </c>
      <c r="D25" s="76" t="s">
        <v>148</v>
      </c>
      <c r="E25" s="76" t="s">
        <v>147</v>
      </c>
      <c r="F25" s="76" t="s">
        <v>148</v>
      </c>
      <c r="G25" s="76" t="s">
        <v>147</v>
      </c>
      <c r="H25" s="76" t="s">
        <v>148</v>
      </c>
    </row>
    <row r="26" spans="1:12" x14ac:dyDescent="0.25">
      <c r="A26" s="136" t="s">
        <v>149</v>
      </c>
      <c r="B26" s="76">
        <v>547</v>
      </c>
      <c r="C26" s="76">
        <v>30</v>
      </c>
      <c r="D26" s="76">
        <v>1.6E-2</v>
      </c>
      <c r="E26" s="76">
        <v>125</v>
      </c>
      <c r="F26" s="76">
        <v>6.8000000000000005E-2</v>
      </c>
      <c r="G26" s="76">
        <v>35</v>
      </c>
      <c r="H26" s="76">
        <v>1.9E-2</v>
      </c>
    </row>
    <row r="27" spans="1:12" x14ac:dyDescent="0.25">
      <c r="A27" s="136" t="s">
        <v>150</v>
      </c>
      <c r="B27" s="76">
        <v>1095</v>
      </c>
      <c r="C27" s="76">
        <v>30</v>
      </c>
      <c r="D27" s="76">
        <v>3.2000000000000001E-2</v>
      </c>
      <c r="E27" s="76">
        <v>125</v>
      </c>
      <c r="F27" s="76">
        <v>0.13700000000000001</v>
      </c>
      <c r="G27" s="76">
        <v>35</v>
      </c>
      <c r="H27" s="76">
        <v>3.7999999999999999E-2</v>
      </c>
    </row>
    <row r="28" spans="1:12" x14ac:dyDescent="0.25">
      <c r="A28" s="136" t="s">
        <v>164</v>
      </c>
      <c r="B28" s="76">
        <v>821</v>
      </c>
      <c r="C28" s="76">
        <v>30</v>
      </c>
      <c r="D28" s="76">
        <v>2.4E-2</v>
      </c>
      <c r="E28" s="76">
        <v>125</v>
      </c>
      <c r="F28" s="76">
        <v>0.1</v>
      </c>
      <c r="G28" s="76">
        <v>35</v>
      </c>
      <c r="H28" s="76">
        <v>5.8000000000000003E-2</v>
      </c>
    </row>
    <row r="29" spans="1:12" x14ac:dyDescent="0.25">
      <c r="A29" s="76" t="s">
        <v>73</v>
      </c>
      <c r="B29" s="76">
        <f>SUM(B26:B28)</f>
        <v>2463</v>
      </c>
      <c r="C29" s="76"/>
      <c r="D29" s="76">
        <f>SUM(D26:D28)</f>
        <v>7.2000000000000008E-2</v>
      </c>
      <c r="E29" s="76"/>
      <c r="F29" s="76">
        <f>SUM(F26:F28)</f>
        <v>0.30500000000000005</v>
      </c>
      <c r="G29" s="76"/>
      <c r="H29" s="76">
        <f>SUM(H26:H28)</f>
        <v>0.11499999999999999</v>
      </c>
    </row>
  </sheetData>
  <mergeCells count="9">
    <mergeCell ref="K12:M12"/>
    <mergeCell ref="B18:D18"/>
    <mergeCell ref="C24:D24"/>
    <mergeCell ref="E24:F24"/>
    <mergeCell ref="G24:H24"/>
    <mergeCell ref="C4:D4"/>
    <mergeCell ref="E4:F4"/>
    <mergeCell ref="G4:H4"/>
    <mergeCell ref="B12:D12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40B8A-BD85-4F09-8A2C-D631A64BBD57}">
  <dimension ref="A1:H41"/>
  <sheetViews>
    <sheetView showGridLines="0" topLeftCell="A16" zoomScale="140" zoomScaleNormal="140" zoomScaleSheetLayoutView="140" workbookViewId="0">
      <selection activeCell="G8" sqref="G8"/>
    </sheetView>
  </sheetViews>
  <sheetFormatPr defaultRowHeight="14.4" x14ac:dyDescent="0.3"/>
  <cols>
    <col min="2" max="2" width="46.6640625" bestFit="1" customWidth="1"/>
    <col min="3" max="3" width="8.6640625" style="7" customWidth="1"/>
    <col min="4" max="4" width="8.6640625" customWidth="1"/>
    <col min="5" max="5" width="8.6640625" style="7" customWidth="1"/>
    <col min="6" max="6" width="8.6640625" customWidth="1"/>
    <col min="7" max="8" width="10.44140625" customWidth="1"/>
  </cols>
  <sheetData>
    <row r="1" spans="1:8" ht="17.100000000000001" customHeight="1" x14ac:dyDescent="0.4">
      <c r="A1" s="3"/>
      <c r="B1" s="40" t="s">
        <v>129</v>
      </c>
    </row>
    <row r="2" spans="1:8" ht="15" customHeight="1" x14ac:dyDescent="0.3">
      <c r="A2" s="3"/>
    </row>
    <row r="3" spans="1:8" ht="15" customHeight="1" x14ac:dyDescent="0.3">
      <c r="A3" s="3"/>
      <c r="B3" s="51" t="s">
        <v>116</v>
      </c>
      <c r="C3" s="52"/>
      <c r="D3" s="51"/>
      <c r="E3" s="52"/>
    </row>
    <row r="4" spans="1:8" ht="15" customHeight="1" x14ac:dyDescent="0.3">
      <c r="A4" s="3"/>
      <c r="B4" s="1"/>
      <c r="C4" s="53" t="s">
        <v>117</v>
      </c>
      <c r="D4" s="1"/>
      <c r="E4" s="53" t="s">
        <v>118</v>
      </c>
      <c r="F4" s="2" t="s">
        <v>71</v>
      </c>
      <c r="G4" s="2" t="s">
        <v>72</v>
      </c>
      <c r="H4" s="2" t="s">
        <v>2</v>
      </c>
    </row>
    <row r="5" spans="1:8" ht="15" customHeight="1" x14ac:dyDescent="0.3">
      <c r="A5" s="3"/>
      <c r="B5" s="3" t="s">
        <v>133</v>
      </c>
      <c r="C5" s="5"/>
      <c r="D5" s="3"/>
      <c r="E5" s="5" t="s">
        <v>119</v>
      </c>
      <c r="F5" s="6">
        <f>'V Mochtín'!J5</f>
        <v>22315.78947368421</v>
      </c>
      <c r="G5" s="4">
        <v>2</v>
      </c>
      <c r="H5" s="4">
        <f>F5*G5</f>
        <v>44631.57894736842</v>
      </c>
    </row>
    <row r="6" spans="1:8" ht="15" customHeight="1" x14ac:dyDescent="0.3">
      <c r="A6" s="3"/>
      <c r="B6" s="3"/>
      <c r="C6" s="5"/>
      <c r="D6" s="3"/>
      <c r="E6" s="5"/>
      <c r="F6" s="8"/>
      <c r="G6" s="8"/>
      <c r="H6" s="8"/>
    </row>
    <row r="7" spans="1:8" ht="15" customHeight="1" x14ac:dyDescent="0.3">
      <c r="A7" s="3"/>
      <c r="B7" s="51" t="s">
        <v>186</v>
      </c>
      <c r="C7" s="52"/>
      <c r="D7" s="51"/>
      <c r="E7" s="52"/>
    </row>
    <row r="8" spans="1:8" ht="15" customHeight="1" x14ac:dyDescent="0.3">
      <c r="A8" s="3"/>
      <c r="B8" s="1"/>
      <c r="C8" s="53" t="s">
        <v>117</v>
      </c>
      <c r="D8" s="1"/>
      <c r="E8" s="53" t="s">
        <v>118</v>
      </c>
      <c r="F8" s="2" t="s">
        <v>71</v>
      </c>
      <c r="G8" s="2" t="s">
        <v>72</v>
      </c>
      <c r="H8" s="2" t="s">
        <v>2</v>
      </c>
    </row>
    <row r="9" spans="1:8" ht="15" customHeight="1" x14ac:dyDescent="0.3">
      <c r="A9" s="3"/>
      <c r="B9" s="3" t="s">
        <v>82</v>
      </c>
      <c r="C9" s="5"/>
      <c r="D9" s="3"/>
      <c r="E9" s="5" t="s">
        <v>2</v>
      </c>
      <c r="F9" s="6"/>
      <c r="G9" s="4"/>
      <c r="H9" s="4">
        <v>550</v>
      </c>
    </row>
    <row r="10" spans="1:8" ht="15" customHeight="1" x14ac:dyDescent="0.3">
      <c r="A10" s="3"/>
      <c r="B10" s="3"/>
      <c r="C10" s="5"/>
      <c r="D10" s="3"/>
      <c r="E10" s="5"/>
      <c r="F10" s="6"/>
      <c r="G10" s="4"/>
      <c r="H10" s="4"/>
    </row>
    <row r="11" spans="1:8" ht="15" customHeight="1" x14ac:dyDescent="0.3">
      <c r="A11" s="3"/>
      <c r="B11" s="51" t="s">
        <v>139</v>
      </c>
      <c r="C11" s="52"/>
      <c r="D11" s="51"/>
      <c r="E11" s="52"/>
    </row>
    <row r="12" spans="1:8" ht="15" customHeight="1" x14ac:dyDescent="0.3">
      <c r="A12" s="3"/>
      <c r="B12" s="1"/>
      <c r="C12" s="53" t="s">
        <v>117</v>
      </c>
      <c r="D12" s="1"/>
      <c r="E12" s="53" t="s">
        <v>118</v>
      </c>
      <c r="F12" s="2" t="s">
        <v>71</v>
      </c>
      <c r="G12" s="2" t="s">
        <v>72</v>
      </c>
      <c r="H12" s="2" t="s">
        <v>2</v>
      </c>
    </row>
    <row r="13" spans="1:8" ht="15" customHeight="1" x14ac:dyDescent="0.3">
      <c r="A13" s="3"/>
      <c r="B13" s="3" t="s">
        <v>278</v>
      </c>
      <c r="C13" s="5"/>
      <c r="D13" s="3"/>
      <c r="E13" s="5"/>
      <c r="F13" s="6"/>
      <c r="G13" s="4"/>
      <c r="H13" s="4">
        <v>9000</v>
      </c>
    </row>
    <row r="14" spans="1:8" ht="15" customHeight="1" x14ac:dyDescent="0.3">
      <c r="A14" s="3"/>
      <c r="B14" s="3" t="s">
        <v>138</v>
      </c>
      <c r="C14" s="5"/>
      <c r="D14" s="3"/>
      <c r="E14" s="5" t="s">
        <v>119</v>
      </c>
      <c r="F14" s="189">
        <v>10</v>
      </c>
      <c r="G14" s="4">
        <v>505</v>
      </c>
      <c r="H14" s="4">
        <f>F14*G14</f>
        <v>5050</v>
      </c>
    </row>
    <row r="15" spans="1:8" ht="15" customHeight="1" x14ac:dyDescent="0.3">
      <c r="A15" s="3"/>
      <c r="B15" s="3"/>
      <c r="C15" s="5"/>
      <c r="D15" s="3"/>
      <c r="E15" s="5"/>
      <c r="F15" s="8"/>
      <c r="G15" s="8"/>
      <c r="H15" s="8"/>
    </row>
    <row r="16" spans="1:8" ht="15" customHeight="1" x14ac:dyDescent="0.3">
      <c r="A16" s="3"/>
      <c r="B16" s="9" t="s">
        <v>122</v>
      </c>
      <c r="C16" s="54"/>
      <c r="D16" s="9"/>
      <c r="E16" s="5"/>
      <c r="F16" s="8"/>
      <c r="G16" s="8"/>
      <c r="H16" s="8"/>
    </row>
    <row r="17" spans="1:8" ht="15" customHeight="1" x14ac:dyDescent="0.3">
      <c r="A17" s="3"/>
      <c r="B17" s="1"/>
      <c r="C17" s="53"/>
      <c r="D17" s="1"/>
      <c r="E17" s="53" t="s">
        <v>120</v>
      </c>
      <c r="F17" s="2" t="s">
        <v>71</v>
      </c>
      <c r="G17" s="2" t="s">
        <v>72</v>
      </c>
      <c r="H17" s="2" t="s">
        <v>2</v>
      </c>
    </row>
    <row r="18" spans="1:8" ht="15" customHeight="1" x14ac:dyDescent="0.3">
      <c r="A18" s="3"/>
      <c r="B18" s="3" t="s">
        <v>123</v>
      </c>
      <c r="C18" s="5"/>
      <c r="D18" s="3"/>
      <c r="E18" s="5" t="s">
        <v>121</v>
      </c>
      <c r="F18" s="190">
        <f>4/3</f>
        <v>1.3333333333333333</v>
      </c>
      <c r="G18" s="6">
        <v>81806.429999999993</v>
      </c>
      <c r="H18" s="4">
        <f>G18*F18</f>
        <v>109075.23999999999</v>
      </c>
    </row>
    <row r="19" spans="1:8" ht="15" customHeight="1" x14ac:dyDescent="0.3">
      <c r="A19" s="3"/>
      <c r="B19" s="3" t="s">
        <v>124</v>
      </c>
      <c r="C19" s="5"/>
      <c r="D19" s="3"/>
      <c r="E19" s="5"/>
      <c r="F19" s="55">
        <v>0</v>
      </c>
      <c r="G19" s="41">
        <v>0</v>
      </c>
      <c r="H19" s="4">
        <f>G19*F19</f>
        <v>0</v>
      </c>
    </row>
    <row r="20" spans="1:8" ht="15" customHeight="1" x14ac:dyDescent="0.3">
      <c r="A20" s="3"/>
      <c r="B20" s="42" t="s">
        <v>73</v>
      </c>
      <c r="C20" s="56"/>
      <c r="D20" s="57"/>
      <c r="E20" s="56"/>
      <c r="F20" s="44"/>
      <c r="G20" s="45"/>
      <c r="H20" s="45">
        <f>SUM(H18:H19)</f>
        <v>109075.23999999999</v>
      </c>
    </row>
    <row r="21" spans="1:8" ht="15" customHeight="1" x14ac:dyDescent="0.3">
      <c r="A21" s="3"/>
      <c r="B21" s="3"/>
      <c r="C21" s="5"/>
      <c r="D21" s="3"/>
      <c r="E21" s="5"/>
      <c r="F21" s="8"/>
      <c r="G21" s="8"/>
      <c r="H21" s="8"/>
    </row>
    <row r="22" spans="1:8" ht="15" customHeight="1" x14ac:dyDescent="0.3">
      <c r="A22" s="3"/>
      <c r="B22" s="9" t="s">
        <v>279</v>
      </c>
      <c r="F22" s="8"/>
      <c r="G22" s="4"/>
      <c r="H22" s="4"/>
    </row>
    <row r="23" spans="1:8" ht="15" customHeight="1" x14ac:dyDescent="0.3">
      <c r="A23" s="3"/>
      <c r="B23" s="1"/>
      <c r="C23" s="50"/>
      <c r="D23" s="2"/>
      <c r="E23" s="53" t="s">
        <v>120</v>
      </c>
      <c r="F23" s="2" t="s">
        <v>71</v>
      </c>
      <c r="G23" s="2" t="s">
        <v>72</v>
      </c>
      <c r="H23" s="2" t="s">
        <v>2</v>
      </c>
    </row>
    <row r="24" spans="1:8" ht="15" customHeight="1" x14ac:dyDescent="0.3">
      <c r="A24" s="3"/>
      <c r="B24" s="3" t="s">
        <v>280</v>
      </c>
      <c r="C24" s="58" t="s">
        <v>28</v>
      </c>
      <c r="D24" s="59"/>
      <c r="E24" s="58" t="s">
        <v>2</v>
      </c>
      <c r="F24" s="41">
        <v>12</v>
      </c>
      <c r="G24" s="41">
        <f>7200/9</f>
        <v>800</v>
      </c>
      <c r="H24" s="4">
        <f>F24*G24</f>
        <v>9600</v>
      </c>
    </row>
    <row r="25" spans="1:8" ht="15" customHeight="1" x14ac:dyDescent="0.3">
      <c r="A25" s="3"/>
      <c r="B25" s="60" t="s">
        <v>73</v>
      </c>
      <c r="C25" s="61"/>
      <c r="D25" s="62"/>
      <c r="E25" s="63"/>
      <c r="F25" s="64"/>
      <c r="G25" s="65"/>
      <c r="H25" s="65">
        <f>SUM(H24:H24)</f>
        <v>9600</v>
      </c>
    </row>
    <row r="26" spans="1:8" ht="15" customHeight="1" x14ac:dyDescent="0.3">
      <c r="A26" s="3"/>
      <c r="B26" s="3"/>
      <c r="C26" s="5"/>
      <c r="D26" s="3"/>
      <c r="E26" s="5"/>
      <c r="F26" s="8"/>
      <c r="G26" s="8"/>
      <c r="H26" s="8"/>
    </row>
    <row r="27" spans="1:8" ht="15" customHeight="1" x14ac:dyDescent="0.3">
      <c r="A27" s="3"/>
      <c r="B27" s="9" t="s">
        <v>125</v>
      </c>
      <c r="F27" s="8"/>
      <c r="G27" s="4"/>
      <c r="H27" s="4"/>
    </row>
    <row r="28" spans="1:8" ht="15" customHeight="1" x14ac:dyDescent="0.3">
      <c r="A28" s="3"/>
      <c r="B28" s="1"/>
      <c r="C28" s="50"/>
      <c r="D28" s="2"/>
      <c r="E28" s="53" t="s">
        <v>120</v>
      </c>
      <c r="F28" s="2" t="s">
        <v>71</v>
      </c>
      <c r="G28" s="2" t="s">
        <v>72</v>
      </c>
      <c r="H28" s="2" t="s">
        <v>2</v>
      </c>
    </row>
    <row r="29" spans="1:8" ht="15" customHeight="1" x14ac:dyDescent="0.3">
      <c r="A29" s="3"/>
      <c r="B29" s="3" t="s">
        <v>134</v>
      </c>
      <c r="C29" s="58" t="s">
        <v>28</v>
      </c>
      <c r="D29" s="59"/>
      <c r="E29" s="58" t="s">
        <v>2</v>
      </c>
      <c r="F29" s="41">
        <v>0</v>
      </c>
      <c r="G29" s="41">
        <v>0</v>
      </c>
      <c r="H29" s="190">
        <v>108000</v>
      </c>
    </row>
    <row r="30" spans="1:8" ht="15" customHeight="1" x14ac:dyDescent="0.3">
      <c r="A30" s="3"/>
      <c r="B30" s="60" t="s">
        <v>73</v>
      </c>
      <c r="C30" s="61"/>
      <c r="D30" s="62"/>
      <c r="E30" s="63"/>
      <c r="F30" s="64"/>
      <c r="G30" s="65"/>
      <c r="H30" s="65">
        <f>SUM(H29:H29)</f>
        <v>108000</v>
      </c>
    </row>
    <row r="31" spans="1:8" ht="15" customHeight="1" x14ac:dyDescent="0.3">
      <c r="A31" s="3"/>
      <c r="B31" s="3"/>
      <c r="C31" s="5"/>
      <c r="D31" s="3"/>
      <c r="E31" s="5"/>
      <c r="F31" s="8"/>
      <c r="G31" s="4"/>
      <c r="H31" s="4"/>
    </row>
    <row r="32" spans="1:8" ht="17.100000000000001" customHeight="1" x14ac:dyDescent="0.3">
      <c r="A32" s="3"/>
      <c r="B32" s="9" t="s">
        <v>80</v>
      </c>
      <c r="C32" s="5"/>
      <c r="D32" s="3"/>
      <c r="E32" s="5"/>
      <c r="F32" s="8"/>
      <c r="G32" s="4"/>
      <c r="H32" s="4"/>
    </row>
    <row r="33" spans="1:8" ht="15" customHeight="1" x14ac:dyDescent="0.3">
      <c r="A33" s="3"/>
      <c r="B33" s="1"/>
      <c r="C33" s="2"/>
      <c r="D33" s="2"/>
      <c r="E33" s="2"/>
      <c r="F33" s="2" t="s">
        <v>71</v>
      </c>
      <c r="G33" s="2" t="s">
        <v>72</v>
      </c>
      <c r="H33" s="2" t="s">
        <v>2</v>
      </c>
    </row>
    <row r="34" spans="1:8" ht="15" customHeight="1" x14ac:dyDescent="0.3">
      <c r="A34" s="3"/>
      <c r="B34" s="3" t="s">
        <v>126</v>
      </c>
      <c r="C34" s="5"/>
      <c r="D34" s="3"/>
      <c r="E34" s="5" t="s">
        <v>74</v>
      </c>
      <c r="F34" s="41">
        <v>1.05</v>
      </c>
      <c r="G34" s="55">
        <f>35503*4/3</f>
        <v>47337.333333333336</v>
      </c>
      <c r="H34" s="46">
        <f t="shared" ref="H34:H37" si="0">G34*F34</f>
        <v>49704.200000000004</v>
      </c>
    </row>
    <row r="35" spans="1:8" ht="15" customHeight="1" x14ac:dyDescent="0.3">
      <c r="A35" s="3"/>
      <c r="B35" s="3" t="s">
        <v>0</v>
      </c>
      <c r="C35" s="5"/>
      <c r="D35" s="3"/>
      <c r="E35" s="5"/>
      <c r="F35" s="41">
        <v>1.05</v>
      </c>
      <c r="G35" s="55">
        <v>6752</v>
      </c>
      <c r="H35" s="46">
        <f t="shared" si="0"/>
        <v>7089.6</v>
      </c>
    </row>
    <row r="36" spans="1:8" ht="15" customHeight="1" x14ac:dyDescent="0.3">
      <c r="A36" s="3"/>
      <c r="B36" s="3" t="s">
        <v>79</v>
      </c>
      <c r="C36" s="5"/>
      <c r="D36" s="3"/>
      <c r="E36" s="5"/>
      <c r="F36" s="41">
        <v>2</v>
      </c>
      <c r="G36" s="55">
        <v>2900</v>
      </c>
      <c r="H36" s="46">
        <f t="shared" si="0"/>
        <v>5800</v>
      </c>
    </row>
    <row r="37" spans="1:8" ht="15" customHeight="1" x14ac:dyDescent="0.3">
      <c r="A37" s="3"/>
      <c r="B37" s="3" t="s">
        <v>110</v>
      </c>
      <c r="C37" s="5"/>
      <c r="D37" s="3"/>
      <c r="E37" s="5"/>
      <c r="F37" s="41">
        <v>1</v>
      </c>
      <c r="G37" s="55">
        <v>400</v>
      </c>
      <c r="H37" s="46">
        <f t="shared" si="0"/>
        <v>400</v>
      </c>
    </row>
    <row r="38" spans="1:8" ht="15" customHeight="1" x14ac:dyDescent="0.3">
      <c r="A38" s="3"/>
      <c r="B38" s="42" t="s">
        <v>73</v>
      </c>
      <c r="C38" s="43"/>
      <c r="D38" s="42"/>
      <c r="E38" s="43"/>
      <c r="F38" s="44"/>
      <c r="G38" s="45"/>
      <c r="H38" s="47">
        <f>SUM(H34:H37)</f>
        <v>62993.8</v>
      </c>
    </row>
    <row r="39" spans="1:8" ht="15" customHeight="1" x14ac:dyDescent="0.3">
      <c r="A39" s="3"/>
      <c r="B39" s="3"/>
      <c r="C39" s="5"/>
      <c r="D39" s="3"/>
      <c r="E39" s="5"/>
      <c r="F39" s="8"/>
      <c r="G39" s="4"/>
      <c r="H39" s="4"/>
    </row>
    <row r="41" spans="1:8" x14ac:dyDescent="0.3">
      <c r="G41" s="145"/>
    </row>
  </sheetData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95A5-11F0-4EC4-A6E8-A3A747786F90}">
  <dimension ref="B2:K68"/>
  <sheetViews>
    <sheetView showGridLines="0" view="pageBreakPreview" zoomScale="130" zoomScaleNormal="100" zoomScaleSheetLayoutView="130" workbookViewId="0">
      <selection activeCell="B3" sqref="B3"/>
    </sheetView>
  </sheetViews>
  <sheetFormatPr defaultRowHeight="15" customHeight="1" outlineLevelRow="1" x14ac:dyDescent="0.3"/>
  <cols>
    <col min="2" max="2" width="6.6640625" style="3" bestFit="1" customWidth="1"/>
    <col min="3" max="3" width="31.6640625" style="3" customWidth="1"/>
    <col min="4" max="7" width="8.6640625" style="3" customWidth="1"/>
    <col min="8" max="11" width="8.6640625" customWidth="1"/>
  </cols>
  <sheetData>
    <row r="2" spans="2:11" ht="25.8" x14ac:dyDescent="0.5">
      <c r="B2" s="12" t="s">
        <v>283</v>
      </c>
    </row>
    <row r="4" spans="2:11" ht="15" customHeight="1" x14ac:dyDescent="0.3">
      <c r="B4" s="13" t="s">
        <v>75</v>
      </c>
      <c r="C4" s="14"/>
      <c r="D4" s="14" t="s">
        <v>76</v>
      </c>
      <c r="E4" s="14"/>
      <c r="F4" s="14" t="s">
        <v>194</v>
      </c>
      <c r="G4" s="14"/>
      <c r="H4" s="15" t="s">
        <v>192</v>
      </c>
      <c r="J4" s="15" t="s">
        <v>76</v>
      </c>
    </row>
    <row r="5" spans="2:11" ht="15" customHeight="1" x14ac:dyDescent="0.3">
      <c r="B5" s="16" t="s">
        <v>130</v>
      </c>
      <c r="D5" s="161">
        <v>2473.6842105263158</v>
      </c>
      <c r="F5" s="166">
        <v>2473.6842105263158</v>
      </c>
      <c r="H5" s="141">
        <f>F5*4/3</f>
        <v>3298.2456140350878</v>
      </c>
      <c r="J5" s="140">
        <f>J7/(1-J6)</f>
        <v>3368.4210526315792</v>
      </c>
    </row>
    <row r="6" spans="2:11" ht="15" customHeight="1" x14ac:dyDescent="0.3">
      <c r="B6" s="16" t="s">
        <v>131</v>
      </c>
      <c r="D6" s="165">
        <v>0.05</v>
      </c>
      <c r="F6" s="165">
        <v>0.05</v>
      </c>
      <c r="H6" s="142" t="s">
        <v>184</v>
      </c>
      <c r="J6" s="143">
        <v>0.05</v>
      </c>
    </row>
    <row r="7" spans="2:11" ht="15" customHeight="1" x14ac:dyDescent="0.3">
      <c r="B7" s="17" t="s">
        <v>132</v>
      </c>
      <c r="C7" s="18"/>
      <c r="D7" s="164">
        <v>2350</v>
      </c>
      <c r="E7" s="18"/>
      <c r="F7" s="167">
        <v>2408.19</v>
      </c>
      <c r="G7" s="18"/>
      <c r="H7" s="139">
        <f>F7*4/3</f>
        <v>3210.92</v>
      </c>
      <c r="J7" s="48">
        <v>3200</v>
      </c>
    </row>
    <row r="8" spans="2:11" ht="15" customHeight="1" x14ac:dyDescent="0.3">
      <c r="H8" s="8"/>
    </row>
    <row r="9" spans="2:11" ht="17.100000000000001" customHeight="1" x14ac:dyDescent="0.3"/>
    <row r="10" spans="2:11" ht="15" customHeight="1" x14ac:dyDescent="0.3">
      <c r="B10" s="10"/>
      <c r="C10" s="11"/>
      <c r="D10" s="159" t="s">
        <v>1</v>
      </c>
      <c r="E10" s="159"/>
      <c r="F10" s="159" t="s">
        <v>194</v>
      </c>
      <c r="G10" s="159"/>
      <c r="H10" s="146" t="s">
        <v>195</v>
      </c>
      <c r="I10" s="146"/>
      <c r="J10" s="147" t="s">
        <v>1</v>
      </c>
      <c r="K10" s="147"/>
    </row>
    <row r="11" spans="2:11" ht="15" customHeight="1" x14ac:dyDescent="0.3">
      <c r="B11" s="10"/>
      <c r="C11" s="11"/>
      <c r="D11" s="11" t="s">
        <v>2</v>
      </c>
      <c r="E11" s="11" t="s">
        <v>187</v>
      </c>
      <c r="F11" s="11" t="s">
        <v>2</v>
      </c>
      <c r="G11" s="11" t="s">
        <v>187</v>
      </c>
      <c r="H11" s="11" t="s">
        <v>2</v>
      </c>
      <c r="I11" s="11" t="str">
        <f>"Kč/m"&amp;UPPER("3")</f>
        <v>Kč/m3</v>
      </c>
      <c r="J11" s="19" t="s">
        <v>2</v>
      </c>
      <c r="K11" s="19" t="str">
        <f>"Kč/m"&amp;UPPER("3")</f>
        <v>Kč/m3</v>
      </c>
    </row>
    <row r="12" spans="2:11" ht="15" customHeight="1" x14ac:dyDescent="0.3">
      <c r="B12" s="20" t="s">
        <v>3</v>
      </c>
      <c r="C12" s="21" t="s">
        <v>4</v>
      </c>
      <c r="D12" s="22">
        <v>861.4</v>
      </c>
      <c r="E12" s="23">
        <v>0.36655319148936172</v>
      </c>
      <c r="F12" s="22">
        <f>SUM(F13:F16)</f>
        <v>412.5</v>
      </c>
      <c r="G12" s="23">
        <f>IFERROR(F12/$F$7,"n/a")</f>
        <v>0.17129047126680202</v>
      </c>
      <c r="H12" s="22">
        <f>SUM(H13:H16)</f>
        <v>297</v>
      </c>
      <c r="I12" s="23">
        <f>IFERROR(H12/$H$7,"n/a")</f>
        <v>9.2496854484073104E-2</v>
      </c>
      <c r="J12" s="22">
        <f>SUM(J13:J16)</f>
        <v>1069.3</v>
      </c>
      <c r="K12" s="23">
        <f>IFERROR(J12/$J$7,"n/a")</f>
        <v>0.33415624999999999</v>
      </c>
    </row>
    <row r="13" spans="2:11" ht="15" customHeight="1" x14ac:dyDescent="0.3">
      <c r="B13" s="16" t="s">
        <v>135</v>
      </c>
      <c r="C13" s="3" t="s">
        <v>136</v>
      </c>
      <c r="D13" s="6">
        <v>0</v>
      </c>
      <c r="E13" s="4">
        <v>0</v>
      </c>
      <c r="F13" s="6">
        <f>SUMIFS('skutečné náklady 25'!$J:$J,'skutečné náklady 25'!$F:$F,"Bystré",'skutečné náklady 25'!$E:$E,"vodné",'skutečné náklady 25'!$L:$L,$B13)</f>
        <v>0</v>
      </c>
      <c r="G13" s="4">
        <f t="shared" ref="G13:G52" si="0">IFERROR(F13/$F$7,"n/a")</f>
        <v>0</v>
      </c>
      <c r="H13" s="6">
        <v>0</v>
      </c>
      <c r="I13" s="4">
        <f t="shared" ref="I13:I36" si="1">IFERROR(H13/$H$7,"n/a")</f>
        <v>0</v>
      </c>
      <c r="J13" s="6">
        <v>0</v>
      </c>
      <c r="K13" s="4">
        <f t="shared" ref="K13:K36" si="2">IFERROR(J13/$J$7,"n/a")</f>
        <v>0</v>
      </c>
    </row>
    <row r="14" spans="2:11" ht="15" customHeight="1" x14ac:dyDescent="0.3">
      <c r="B14" s="16" t="s">
        <v>5</v>
      </c>
      <c r="C14" s="3" t="s">
        <v>78</v>
      </c>
      <c r="D14" s="6">
        <v>0</v>
      </c>
      <c r="E14" s="4">
        <v>0</v>
      </c>
      <c r="F14" s="6">
        <f>SUMIFS('skutečné náklady 25'!$J:$J,'skutečné náklady 25'!$F:$F,"Bystré",'skutečné náklady 25'!$E:$E,"vodné",'skutečné náklady 25'!$L:$L,$B14)</f>
        <v>0</v>
      </c>
      <c r="G14" s="4">
        <f t="shared" si="0"/>
        <v>0</v>
      </c>
      <c r="H14" s="6">
        <f>SUMIFS('skutečné náklady 23'!$F:$F,'skutečné náklady 23'!$G:$G,"Mochtín",'skutečné náklady 23'!$H:$H,$B14)</f>
        <v>0</v>
      </c>
      <c r="I14" s="4">
        <f t="shared" si="1"/>
        <v>0</v>
      </c>
      <c r="J14" s="6">
        <v>0</v>
      </c>
      <c r="K14" s="4">
        <f t="shared" si="2"/>
        <v>0</v>
      </c>
    </row>
    <row r="15" spans="2:11" ht="15" customHeight="1" x14ac:dyDescent="0.3">
      <c r="B15" s="16" t="s">
        <v>6</v>
      </c>
      <c r="C15" s="3" t="s">
        <v>7</v>
      </c>
      <c r="D15" s="6">
        <v>356.4</v>
      </c>
      <c r="E15" s="4">
        <v>0.15165957446808509</v>
      </c>
      <c r="F15" s="6">
        <f>SUMIFS('skutečné náklady 25'!$J:$J,'skutečné náklady 25'!$F:$F,"Bystré",'skutečné náklady 25'!$E:$E,"vodné",'skutečné náklady 25'!$L:$L,$B15)</f>
        <v>412.5</v>
      </c>
      <c r="G15" s="4">
        <f t="shared" si="0"/>
        <v>0.17129047126680202</v>
      </c>
      <c r="H15" s="6">
        <f>'skutečné náklady 23'!F4</f>
        <v>297</v>
      </c>
      <c r="I15" s="4">
        <f t="shared" si="1"/>
        <v>9.2496854484073104E-2</v>
      </c>
      <c r="J15" s="6">
        <f>'Předpoklady Bystré'!H9</f>
        <v>564.29999999999995</v>
      </c>
      <c r="K15" s="4">
        <f t="shared" si="2"/>
        <v>0.17634374999999999</v>
      </c>
    </row>
    <row r="16" spans="2:11" ht="15" customHeight="1" x14ac:dyDescent="0.3">
      <c r="B16" s="16" t="s">
        <v>8</v>
      </c>
      <c r="C16" s="3" t="s">
        <v>9</v>
      </c>
      <c r="D16" s="6">
        <v>505</v>
      </c>
      <c r="E16" s="4">
        <v>0.2148936170212766</v>
      </c>
      <c r="F16" s="6">
        <f>SUMIFS('skutečné náklady 25'!$J:$J,'skutečné náklady 25'!$F:$F,"Bystré",'skutečné náklady 25'!$E:$E,"vodné",'skutečné náklady 25'!$L:$L,$B16)</f>
        <v>0</v>
      </c>
      <c r="G16" s="4">
        <f t="shared" si="0"/>
        <v>0</v>
      </c>
      <c r="H16" s="6">
        <v>0</v>
      </c>
      <c r="I16" s="4">
        <f t="shared" si="1"/>
        <v>0</v>
      </c>
      <c r="J16" s="6">
        <f>'Předpoklady Bystré'!H13</f>
        <v>505</v>
      </c>
      <c r="K16" s="4">
        <f t="shared" si="2"/>
        <v>0.15781249999999999</v>
      </c>
    </row>
    <row r="17" spans="2:11" ht="15" customHeight="1" x14ac:dyDescent="0.3">
      <c r="B17" s="20" t="s">
        <v>10</v>
      </c>
      <c r="C17" s="21" t="s">
        <v>11</v>
      </c>
      <c r="D17" s="22">
        <v>0</v>
      </c>
      <c r="E17" s="23">
        <v>0</v>
      </c>
      <c r="F17" s="22">
        <f>SUM(F18:F19)</f>
        <v>0</v>
      </c>
      <c r="G17" s="23">
        <f t="shared" si="0"/>
        <v>0</v>
      </c>
      <c r="H17" s="22">
        <f>SUM(H18:H19)</f>
        <v>0</v>
      </c>
      <c r="I17" s="23">
        <f t="shared" si="1"/>
        <v>0</v>
      </c>
      <c r="J17" s="22">
        <f>SUM(J18:J19)</f>
        <v>0</v>
      </c>
      <c r="K17" s="23">
        <f t="shared" si="2"/>
        <v>0</v>
      </c>
    </row>
    <row r="18" spans="2:11" ht="15" customHeight="1" x14ac:dyDescent="0.3">
      <c r="B18" s="16" t="s">
        <v>12</v>
      </c>
      <c r="C18" s="3" t="s">
        <v>13</v>
      </c>
      <c r="D18" s="6">
        <v>0</v>
      </c>
      <c r="E18" s="4">
        <v>0</v>
      </c>
      <c r="F18" s="6">
        <f>SUMIFS('skutečné náklady 25'!$J:$J,'skutečné náklady 25'!$F:$F,"Bystré",'skutečné náklady 25'!$E:$E,"vodné",'skutečné náklady 25'!$L:$L,$B18)</f>
        <v>0</v>
      </c>
      <c r="G18" s="4">
        <f t="shared" si="0"/>
        <v>0</v>
      </c>
      <c r="H18" s="6">
        <v>0</v>
      </c>
      <c r="I18" s="4">
        <f t="shared" si="1"/>
        <v>0</v>
      </c>
      <c r="J18" s="6">
        <f>'Předpoklady Bystré'!H19</f>
        <v>0</v>
      </c>
      <c r="K18" s="4">
        <f t="shared" si="2"/>
        <v>0</v>
      </c>
    </row>
    <row r="19" spans="2:11" ht="15" customHeight="1" x14ac:dyDescent="0.3">
      <c r="B19" s="16" t="s">
        <v>14</v>
      </c>
      <c r="C19" s="3" t="s">
        <v>15</v>
      </c>
      <c r="D19" s="6">
        <v>0</v>
      </c>
      <c r="E19" s="4">
        <v>0</v>
      </c>
      <c r="F19" s="6">
        <f>SUMIFS('skutečné náklady 25'!$J:$J,'skutečné náklady 25'!$F:$F,"Bystré",'skutečné náklady 25'!$E:$E,"vodné",'skutečné náklady 25'!$L:$L,$B19)</f>
        <v>0</v>
      </c>
      <c r="G19" s="4">
        <f t="shared" si="0"/>
        <v>0</v>
      </c>
      <c r="H19" s="6">
        <f>SUMIFS('skutečné náklady 23'!$F:$F,'skutečné náklady 23'!$G:$G,"Mochtín",'skutečné náklady 23'!$H:$H,$B19)</f>
        <v>0</v>
      </c>
      <c r="I19" s="4">
        <f t="shared" si="1"/>
        <v>0</v>
      </c>
      <c r="J19" s="6">
        <v>0</v>
      </c>
      <c r="K19" s="4">
        <f t="shared" si="2"/>
        <v>0</v>
      </c>
    </row>
    <row r="20" spans="2:11" ht="15" customHeight="1" x14ac:dyDescent="0.3">
      <c r="B20" s="20" t="s">
        <v>16</v>
      </c>
      <c r="C20" s="21" t="s">
        <v>17</v>
      </c>
      <c r="D20" s="22">
        <v>0</v>
      </c>
      <c r="E20" s="23">
        <v>0</v>
      </c>
      <c r="F20" s="22"/>
      <c r="G20" s="23">
        <f t="shared" si="0"/>
        <v>0</v>
      </c>
      <c r="H20" s="22">
        <f>SUM(H21:H22)</f>
        <v>0</v>
      </c>
      <c r="I20" s="23">
        <f t="shared" si="1"/>
        <v>0</v>
      </c>
      <c r="J20" s="22">
        <f>SUM(J21:J22)</f>
        <v>0</v>
      </c>
      <c r="K20" s="23">
        <f t="shared" si="2"/>
        <v>0</v>
      </c>
    </row>
    <row r="21" spans="2:11" ht="15" customHeight="1" x14ac:dyDescent="0.3">
      <c r="B21" s="16" t="s">
        <v>18</v>
      </c>
      <c r="C21" s="3" t="s">
        <v>19</v>
      </c>
      <c r="D21" s="6">
        <v>0</v>
      </c>
      <c r="E21" s="4">
        <v>0</v>
      </c>
      <c r="F21" s="6">
        <f>SUMIFS('skutečné náklady 25'!$J:$J,'skutečné náklady 25'!$F:$F,"Bystré",'skutečné náklady 25'!$E:$E,"vodné",'skutečné náklady 25'!$L:$L,$B21)</f>
        <v>0</v>
      </c>
      <c r="G21" s="4">
        <f t="shared" si="0"/>
        <v>0</v>
      </c>
      <c r="H21" s="6">
        <f>SUMIFS('skutečné náklady 23'!$F:$F,'skutečné náklady 23'!$G:$G,"Mochtín",'skutečné náklady 23'!$H:$H,$B21)</f>
        <v>0</v>
      </c>
      <c r="I21" s="4">
        <f t="shared" si="1"/>
        <v>0</v>
      </c>
      <c r="J21" s="6">
        <v>0</v>
      </c>
      <c r="K21" s="4">
        <f t="shared" si="2"/>
        <v>0</v>
      </c>
    </row>
    <row r="22" spans="2:11" ht="15" customHeight="1" x14ac:dyDescent="0.3">
      <c r="B22" s="16" t="s">
        <v>20</v>
      </c>
      <c r="C22" s="3" t="s">
        <v>21</v>
      </c>
      <c r="D22" s="6">
        <v>0</v>
      </c>
      <c r="E22" s="4">
        <v>0</v>
      </c>
      <c r="F22" s="6">
        <f>SUMIFS('skutečné náklady 25'!$J:$J,'skutečné náklady 25'!$F:$F,"Bystré",'skutečné náklady 25'!$E:$E,"vodné",'skutečné náklady 25'!$L:$L,$B22)</f>
        <v>3600</v>
      </c>
      <c r="G22" s="4">
        <f t="shared" si="0"/>
        <v>1.494898658328454</v>
      </c>
      <c r="H22" s="6">
        <f>SUMIFS('skutečné náklady 23'!$F:$F,'skutečné náklady 23'!$G:$G,"Mochtín",'skutečné náklady 23'!$H:$H,$B22)</f>
        <v>0</v>
      </c>
      <c r="I22" s="4">
        <f t="shared" si="1"/>
        <v>0</v>
      </c>
      <c r="J22" s="6">
        <v>0</v>
      </c>
      <c r="K22" s="4">
        <f t="shared" si="2"/>
        <v>0</v>
      </c>
    </row>
    <row r="23" spans="2:11" ht="15" customHeight="1" x14ac:dyDescent="0.3">
      <c r="B23" s="20" t="s">
        <v>22</v>
      </c>
      <c r="C23" s="21" t="s">
        <v>23</v>
      </c>
      <c r="D23" s="22">
        <v>31292</v>
      </c>
      <c r="E23" s="23">
        <v>13.315744680851063</v>
      </c>
      <c r="F23" s="22">
        <f>SUM(F24:F26,F27)</f>
        <v>8469</v>
      </c>
      <c r="G23" s="23">
        <f t="shared" si="0"/>
        <v>3.5167490937176882</v>
      </c>
      <c r="H23" s="22">
        <f>SUM(H24:H26,H27)</f>
        <v>17635</v>
      </c>
      <c r="I23" s="23">
        <f t="shared" si="1"/>
        <v>5.4921953832546437</v>
      </c>
      <c r="J23" s="22">
        <f>SUM(J24:J26,J27)</f>
        <v>31292</v>
      </c>
      <c r="K23" s="23">
        <f t="shared" si="2"/>
        <v>9.7787500000000005</v>
      </c>
    </row>
    <row r="24" spans="2:11" ht="15" customHeight="1" x14ac:dyDescent="0.3">
      <c r="B24" s="16" t="s">
        <v>24</v>
      </c>
      <c r="C24" s="3" t="s">
        <v>25</v>
      </c>
      <c r="D24" s="6">
        <v>11292</v>
      </c>
      <c r="E24" s="4">
        <v>4.8051063829787237</v>
      </c>
      <c r="F24" s="6">
        <f>SUMIFS('skutečné náklady 25'!$J:$J,'skutečné náklady 25'!$F:$F,"Bystré",'skutečné náklady 25'!$E:$E,"vodné",'skutečné náklady 25'!$L:$L,$B24)</f>
        <v>8469</v>
      </c>
      <c r="G24" s="4">
        <f t="shared" si="0"/>
        <v>3.5167490937176882</v>
      </c>
      <c r="H24" s="6">
        <f>'skutečné náklady 23'!F10</f>
        <v>11292</v>
      </c>
      <c r="I24" s="4">
        <f t="shared" si="1"/>
        <v>3.5167490937176882</v>
      </c>
      <c r="J24" s="6">
        <f>H24</f>
        <v>11292</v>
      </c>
      <c r="K24" s="4">
        <f t="shared" si="2"/>
        <v>3.5287500000000001</v>
      </c>
    </row>
    <row r="25" spans="2:11" ht="15" customHeight="1" x14ac:dyDescent="0.3">
      <c r="B25" s="16" t="s">
        <v>26</v>
      </c>
      <c r="C25" s="3" t="s">
        <v>27</v>
      </c>
      <c r="D25" s="6">
        <v>0</v>
      </c>
      <c r="E25" s="4">
        <v>0</v>
      </c>
      <c r="F25" s="6">
        <f>SUMIFS('skutečné náklady 25'!$J:$J,'skutečné náklady 25'!$F:$F,"Bystré",'skutečné náklady 25'!$E:$E,"vodné",'skutečné náklady 25'!$L:$L,$B25)</f>
        <v>0</v>
      </c>
      <c r="G25" s="4">
        <f t="shared" si="0"/>
        <v>0</v>
      </c>
      <c r="H25" s="6">
        <f>SUMIFS('skutečné náklady 23'!$F:$F,'skutečné náklady 23'!$G:$G,"Mochtín",'skutečné náklady 23'!$H:$H,$B25)</f>
        <v>0</v>
      </c>
      <c r="I25" s="4">
        <f t="shared" si="1"/>
        <v>0</v>
      </c>
      <c r="J25" s="6">
        <v>0</v>
      </c>
      <c r="K25" s="4">
        <f t="shared" si="2"/>
        <v>0</v>
      </c>
    </row>
    <row r="26" spans="2:11" ht="15" customHeight="1" x14ac:dyDescent="0.3">
      <c r="B26" s="16" t="s">
        <v>28</v>
      </c>
      <c r="C26" s="3" t="s">
        <v>29</v>
      </c>
      <c r="D26" s="6">
        <v>20000</v>
      </c>
      <c r="E26" s="4">
        <v>8.5106382978723403</v>
      </c>
      <c r="F26" s="6">
        <f>SUMIFS('skutečné náklady 25'!$J:$J,'skutečné náklady 25'!$F:$F,"Bystré",'skutečné náklady 25'!$E:$E,"vodné",'skutečné náklady 25'!$L:$L,$B26)</f>
        <v>0</v>
      </c>
      <c r="G26" s="4">
        <f t="shared" si="0"/>
        <v>0</v>
      </c>
      <c r="H26" s="6">
        <f>'skutečné náklady 23'!F8</f>
        <v>6343</v>
      </c>
      <c r="I26" s="4">
        <f t="shared" si="1"/>
        <v>1.9754462895369551</v>
      </c>
      <c r="J26" s="6">
        <f>'Předpoklady Bystré'!H29</f>
        <v>20000</v>
      </c>
      <c r="K26" s="4">
        <f t="shared" si="2"/>
        <v>6.25</v>
      </c>
    </row>
    <row r="27" spans="2:11" ht="15" customHeight="1" x14ac:dyDescent="0.3">
      <c r="B27" s="16" t="s">
        <v>30</v>
      </c>
      <c r="C27" s="3" t="s">
        <v>31</v>
      </c>
      <c r="D27" s="6">
        <v>0</v>
      </c>
      <c r="E27" s="4">
        <v>0</v>
      </c>
      <c r="F27" s="6">
        <f>SUMIFS('skutečné náklady 25'!$J:$J,'skutečné náklady 25'!$F:$F,"Bystré",'skutečné náklady 25'!$E:$E,"vodné",'skutečné náklady 25'!$L:$L,$B27)</f>
        <v>0</v>
      </c>
      <c r="G27" s="4">
        <f t="shared" si="0"/>
        <v>0</v>
      </c>
      <c r="H27" s="6">
        <f>SUMIFS('skutečné náklady 23'!$F:$F,'skutečné náklady 23'!$G:$G,"Mochtín",'skutečné náklady 23'!$H:$H,$B27)</f>
        <v>0</v>
      </c>
      <c r="I27" s="4">
        <f t="shared" si="1"/>
        <v>0</v>
      </c>
      <c r="J27" s="6">
        <v>0</v>
      </c>
      <c r="K27" s="4">
        <f t="shared" si="2"/>
        <v>0</v>
      </c>
    </row>
    <row r="28" spans="2:11" ht="15" customHeight="1" x14ac:dyDescent="0.3">
      <c r="B28" s="20" t="s">
        <v>32</v>
      </c>
      <c r="C28" s="21" t="s">
        <v>33</v>
      </c>
      <c r="D28" s="22">
        <v>19516.45</v>
      </c>
      <c r="E28" s="23">
        <v>8.3048723404255327</v>
      </c>
      <c r="F28" s="22">
        <f>SUM(F29:F29,F30)</f>
        <v>26961.4</v>
      </c>
      <c r="G28" s="23">
        <f t="shared" si="0"/>
        <v>11.195711301849107</v>
      </c>
      <c r="H28" s="22">
        <f>SUM(H29:H29,H30)</f>
        <v>38361</v>
      </c>
      <c r="I28" s="23">
        <f t="shared" si="1"/>
        <v>11.947043215028714</v>
      </c>
      <c r="J28" s="22">
        <f>SUM(J29:J29,J30)</f>
        <v>40844.6</v>
      </c>
      <c r="K28" s="23">
        <f t="shared" si="2"/>
        <v>12.763937499999999</v>
      </c>
    </row>
    <row r="29" spans="2:11" ht="15" customHeight="1" x14ac:dyDescent="0.3">
      <c r="B29" s="16" t="s">
        <v>34</v>
      </c>
      <c r="C29" s="3" t="s">
        <v>35</v>
      </c>
      <c r="D29" s="6">
        <v>19516.45</v>
      </c>
      <c r="E29" s="4">
        <v>8.3048723404255327</v>
      </c>
      <c r="F29" s="6">
        <f>SUMIFS('skutečné náklady 25'!$J:$J,'skutečné náklady 25'!$F:$F,"Bystré",'skutečné náklady 25'!$E:$E,"vodné",'skutečné náklady 25'!$L:$L,$B29)</f>
        <v>26961.4</v>
      </c>
      <c r="G29" s="4">
        <f t="shared" si="0"/>
        <v>11.195711301849107</v>
      </c>
      <c r="H29" s="6">
        <f>SUM('skutečné náklady 23'!F5:F7,'skutečné náklady 23'!F9)</f>
        <v>38361</v>
      </c>
      <c r="I29" s="4">
        <f t="shared" si="1"/>
        <v>11.947043215028714</v>
      </c>
      <c r="J29" s="6">
        <f>'Předpoklady Bystré'!H37</f>
        <v>40844.6</v>
      </c>
      <c r="K29" s="4">
        <f t="shared" si="2"/>
        <v>12.763937499999999</v>
      </c>
    </row>
    <row r="30" spans="2:11" ht="15" customHeight="1" x14ac:dyDescent="0.3">
      <c r="B30" s="16" t="s">
        <v>36</v>
      </c>
      <c r="C30" s="3" t="s">
        <v>37</v>
      </c>
      <c r="D30" s="6">
        <v>0</v>
      </c>
      <c r="E30" s="4">
        <v>0</v>
      </c>
      <c r="F30" s="6">
        <f>SUMIFS('skutečné náklady 25'!$J:$J,'skutečné náklady 25'!$F:$F,"Bystré",'skutečné náklady 25'!$E:$E,"vodné",'skutečné náklady 25'!$L:$L,$B30)</f>
        <v>0</v>
      </c>
      <c r="G30" s="4">
        <f t="shared" si="0"/>
        <v>0</v>
      </c>
      <c r="H30" s="6">
        <f>SUMIFS('skutečné náklady 23'!$F:$F,'skutečné náklady 23'!$G:$G,"Mochtín",'skutečné náklady 23'!$H:$H,$B30)</f>
        <v>0</v>
      </c>
      <c r="I30" s="4">
        <f t="shared" si="1"/>
        <v>0</v>
      </c>
      <c r="J30" s="6">
        <v>0</v>
      </c>
      <c r="K30" s="4">
        <f t="shared" si="2"/>
        <v>0</v>
      </c>
    </row>
    <row r="31" spans="2:11" ht="15" customHeight="1" x14ac:dyDescent="0.3">
      <c r="B31" s="20" t="s">
        <v>38</v>
      </c>
      <c r="C31" s="21" t="s">
        <v>39</v>
      </c>
      <c r="D31" s="22">
        <v>0</v>
      </c>
      <c r="E31" s="23">
        <v>0</v>
      </c>
      <c r="F31" s="22">
        <f>SUMIFS('skutečné náklady 25'!$J:$J,'skutečné náklady 25'!$F:$F,"Bystré",'skutečné náklady 25'!$E:$E,"vodné",'skutečné náklady 25'!$L:$L,$B31)</f>
        <v>0</v>
      </c>
      <c r="G31" s="23">
        <f t="shared" si="0"/>
        <v>0</v>
      </c>
      <c r="H31" s="22">
        <f>SUMIFS('skutečné náklady 23'!$F:$F,'skutečné náklady 23'!$G:$G,"Mochtín",'skutečné náklady 23'!$H:$H,$B31)</f>
        <v>0</v>
      </c>
      <c r="I31" s="23">
        <f t="shared" si="1"/>
        <v>0</v>
      </c>
      <c r="J31" s="22">
        <v>0</v>
      </c>
      <c r="K31" s="23">
        <f t="shared" si="2"/>
        <v>0</v>
      </c>
    </row>
    <row r="32" spans="2:11" ht="15" customHeight="1" x14ac:dyDescent="0.3">
      <c r="B32" s="20" t="s">
        <v>40</v>
      </c>
      <c r="C32" s="21" t="s">
        <v>41</v>
      </c>
      <c r="D32" s="22">
        <v>0</v>
      </c>
      <c r="E32" s="23">
        <v>0</v>
      </c>
      <c r="F32" s="22">
        <f>SUMIFS('skutečné náklady 25'!$J:$J,'skutečné náklady 25'!$F:$F,"Bystré",'skutečné náklady 25'!$E:$E,"vodné",'skutečné náklady 25'!$L:$L,$B32)</f>
        <v>0</v>
      </c>
      <c r="G32" s="23">
        <f t="shared" si="0"/>
        <v>0</v>
      </c>
      <c r="H32" s="22">
        <f>SUMIFS('skutečné náklady 23'!$F:$F,'skutečné náklady 23'!$G:$G,"Mochtín",'skutečné náklady 23'!$H:$H,$B32)</f>
        <v>0</v>
      </c>
      <c r="I32" s="23">
        <f t="shared" si="1"/>
        <v>0</v>
      </c>
      <c r="J32" s="22">
        <v>0</v>
      </c>
      <c r="K32" s="23">
        <f t="shared" si="2"/>
        <v>0</v>
      </c>
    </row>
    <row r="33" spans="2:11" ht="15" customHeight="1" x14ac:dyDescent="0.3">
      <c r="B33" s="20" t="s">
        <v>42</v>
      </c>
      <c r="C33" s="21" t="s">
        <v>43</v>
      </c>
      <c r="D33" s="22">
        <v>0</v>
      </c>
      <c r="E33" s="23">
        <v>0</v>
      </c>
      <c r="F33" s="22">
        <f>SUMIFS('skutečné náklady 25'!$J:$J,'skutečné náklady 25'!$F:$F,"Bystré",'skutečné náklady 25'!$E:$E,"vodné",'skutečné náklady 25'!$L:$L,$B33)</f>
        <v>0</v>
      </c>
      <c r="G33" s="23">
        <f t="shared" si="0"/>
        <v>0</v>
      </c>
      <c r="H33" s="22">
        <f>SUMIFS('skutečné náklady 23'!$F:$F,'skutečné náklady 23'!$G:$G,"Mochtín",'skutečné náklady 23'!$H:$H,$B33)</f>
        <v>0</v>
      </c>
      <c r="I33" s="23">
        <f t="shared" si="1"/>
        <v>0</v>
      </c>
      <c r="J33" s="22">
        <v>0</v>
      </c>
      <c r="K33" s="23">
        <f>IFERROR(J33/$J$7,"n/a")</f>
        <v>0</v>
      </c>
    </row>
    <row r="34" spans="2:11" ht="15" customHeight="1" x14ac:dyDescent="0.3">
      <c r="B34" s="20" t="s">
        <v>44</v>
      </c>
      <c r="C34" s="21" t="s">
        <v>45</v>
      </c>
      <c r="D34" s="22">
        <v>0</v>
      </c>
      <c r="E34" s="23">
        <v>0</v>
      </c>
      <c r="F34" s="22">
        <f>SUMIFS('skutečné náklady 25'!$J:$J,'skutečné náklady 25'!$F:$F,"Bystré",'skutečné náklady 25'!$E:$E,"vodné",'skutečné náklady 25'!$L:$L,$B34)</f>
        <v>0</v>
      </c>
      <c r="G34" s="23">
        <f t="shared" si="0"/>
        <v>0</v>
      </c>
      <c r="H34" s="22">
        <f>SUMIFS('skutečné náklady 23'!$F:$F,'skutečné náklady 23'!$G:$G,"Mochtín",'skutečné náklady 23'!$H:$H,$B34)</f>
        <v>0</v>
      </c>
      <c r="I34" s="23">
        <f t="shared" si="1"/>
        <v>0</v>
      </c>
      <c r="J34" s="22">
        <v>0</v>
      </c>
      <c r="K34" s="23">
        <f t="shared" si="2"/>
        <v>0</v>
      </c>
    </row>
    <row r="35" spans="2:11" ht="15" customHeight="1" outlineLevel="1" x14ac:dyDescent="0.3">
      <c r="B35" s="16" t="s">
        <v>46</v>
      </c>
      <c r="C35" s="3" t="s">
        <v>47</v>
      </c>
      <c r="D35" s="6">
        <v>0</v>
      </c>
      <c r="E35" s="4">
        <v>0</v>
      </c>
      <c r="F35" s="6">
        <f>SUMIFS('skutečné náklady 25'!$J:$J,'skutečné náklady 25'!$F:$F,"Bystré",'skutečné náklady 25'!$E:$E,"vodné",'skutečné náklady 25'!$L:$L,$B35)</f>
        <v>0</v>
      </c>
      <c r="G35" s="4">
        <f t="shared" si="0"/>
        <v>0</v>
      </c>
      <c r="H35" s="6">
        <f>SUMIFS('skutečné náklady 23'!$F:$F,'skutečné náklady 23'!$G:$G,"Mochtín",'skutečné náklady 23'!$H:$H,$B35)</f>
        <v>0</v>
      </c>
      <c r="I35" s="4">
        <f t="shared" si="1"/>
        <v>0</v>
      </c>
      <c r="J35" s="6">
        <v>0</v>
      </c>
      <c r="K35" s="4">
        <f t="shared" si="2"/>
        <v>0</v>
      </c>
    </row>
    <row r="36" spans="2:11" ht="15" customHeight="1" x14ac:dyDescent="0.3">
      <c r="B36" s="24" t="s">
        <v>48</v>
      </c>
      <c r="C36" s="25" t="s">
        <v>49</v>
      </c>
      <c r="D36" s="26">
        <v>51669.850000000006</v>
      </c>
      <c r="E36" s="27">
        <v>21.98717021276596</v>
      </c>
      <c r="F36" s="26">
        <f>SUM(F12,F17,F20,F23,F28,F31:F33,F34)</f>
        <v>35842.9</v>
      </c>
      <c r="G36" s="27">
        <f t="shared" si="0"/>
        <v>14.883750866833598</v>
      </c>
      <c r="H36" s="26">
        <f>SUM(H12,H17,H20,H23,H28,H31:H33,H34)</f>
        <v>56293</v>
      </c>
      <c r="I36" s="27">
        <f t="shared" si="1"/>
        <v>17.531735452767432</v>
      </c>
      <c r="J36" s="26">
        <f>SUM(J12,J17,J20,J23,J28,J31:J33,J34)</f>
        <v>73205.899999999994</v>
      </c>
      <c r="K36" s="27">
        <f t="shared" si="2"/>
        <v>22.876843749999999</v>
      </c>
    </row>
    <row r="37" spans="2:11" ht="15" customHeight="1" x14ac:dyDescent="0.3">
      <c r="D37" s="6"/>
      <c r="E37"/>
      <c r="F37" s="6"/>
      <c r="G37"/>
      <c r="H37" s="6"/>
    </row>
    <row r="38" spans="2:11" ht="15" customHeight="1" x14ac:dyDescent="0.3">
      <c r="B38" s="28" t="s">
        <v>50</v>
      </c>
      <c r="C38" s="29" t="s">
        <v>51</v>
      </c>
      <c r="D38" s="30">
        <v>37600</v>
      </c>
      <c r="E38" s="31">
        <v>16</v>
      </c>
      <c r="F38" s="30">
        <f>SUM(F39:F41,F43:F44,F46:F47,F49:F50)</f>
        <v>38531.040000000001</v>
      </c>
      <c r="G38" s="31">
        <f t="shared" si="0"/>
        <v>16</v>
      </c>
      <c r="H38" s="30">
        <f>SUM(H39:H41,H43:H44,H46:H47,H49:H50)</f>
        <v>51374.720000000001</v>
      </c>
      <c r="I38" s="31">
        <f t="shared" ref="I38:I50" si="3">IFERROR(H38/$H$7,"n/a")</f>
        <v>16</v>
      </c>
      <c r="J38" s="30">
        <f>SUM(J39:J41,J43:J44,J46:J47,J49:J50)</f>
        <v>51200</v>
      </c>
      <c r="K38" s="31">
        <f t="shared" ref="K38:K50" si="4">IFERROR(J38/$J$7,"n/a")</f>
        <v>16</v>
      </c>
    </row>
    <row r="39" spans="2:11" ht="15" customHeight="1" x14ac:dyDescent="0.3">
      <c r="B39" s="16" t="s">
        <v>52</v>
      </c>
      <c r="C39" s="3" t="s">
        <v>53</v>
      </c>
      <c r="D39" s="6">
        <v>37600</v>
      </c>
      <c r="E39" s="4">
        <v>16</v>
      </c>
      <c r="F39" s="6">
        <v>38531.040000000001</v>
      </c>
      <c r="G39" s="4">
        <f t="shared" si="0"/>
        <v>16</v>
      </c>
      <c r="H39" s="6">
        <f>I39*H7</f>
        <v>51374.720000000001</v>
      </c>
      <c r="I39" s="4">
        <v>16</v>
      </c>
      <c r="J39" s="6">
        <f>K39*J7</f>
        <v>51200</v>
      </c>
      <c r="K39" s="4">
        <v>16</v>
      </c>
    </row>
    <row r="40" spans="2:11" ht="15" customHeight="1" x14ac:dyDescent="0.3">
      <c r="B40" s="16" t="s">
        <v>54</v>
      </c>
      <c r="C40" s="3" t="s">
        <v>55</v>
      </c>
      <c r="D40" s="6">
        <v>0</v>
      </c>
      <c r="E40" s="4">
        <v>0</v>
      </c>
      <c r="F40" s="6">
        <v>0</v>
      </c>
      <c r="G40" s="4">
        <f t="shared" si="0"/>
        <v>0</v>
      </c>
      <c r="H40" s="6">
        <v>0</v>
      </c>
      <c r="I40" s="4">
        <f t="shared" si="3"/>
        <v>0</v>
      </c>
      <c r="J40" s="6">
        <v>0</v>
      </c>
      <c r="K40" s="4">
        <v>0</v>
      </c>
    </row>
    <row r="41" spans="2:11" ht="15" customHeight="1" x14ac:dyDescent="0.3">
      <c r="B41" s="16" t="s">
        <v>56</v>
      </c>
      <c r="C41" s="3" t="s">
        <v>57</v>
      </c>
      <c r="D41" s="6">
        <v>0</v>
      </c>
      <c r="E41" s="4">
        <v>0</v>
      </c>
      <c r="F41" s="6">
        <v>0</v>
      </c>
      <c r="G41" s="4">
        <f t="shared" si="0"/>
        <v>0</v>
      </c>
      <c r="H41" s="6">
        <v>0</v>
      </c>
      <c r="I41" s="4">
        <f t="shared" si="3"/>
        <v>0</v>
      </c>
      <c r="J41" s="4">
        <v>0</v>
      </c>
      <c r="K41" s="4">
        <f t="shared" si="4"/>
        <v>0</v>
      </c>
    </row>
    <row r="42" spans="2:11" ht="7.5" customHeight="1" x14ac:dyDescent="0.3">
      <c r="B42" s="16"/>
      <c r="D42" s="6"/>
      <c r="E42" s="4"/>
      <c r="F42" s="6"/>
      <c r="G42" s="4">
        <f t="shared" si="0"/>
        <v>0</v>
      </c>
      <c r="H42" s="6"/>
      <c r="I42" s="4"/>
      <c r="J42" s="4"/>
      <c r="K42" s="4"/>
    </row>
    <row r="43" spans="2:11" ht="15" customHeight="1" x14ac:dyDescent="0.3">
      <c r="B43" s="16" t="s">
        <v>58</v>
      </c>
      <c r="C43" s="3" t="s">
        <v>59</v>
      </c>
      <c r="D43" s="6">
        <v>0</v>
      </c>
      <c r="E43" s="4">
        <v>0</v>
      </c>
      <c r="F43" s="6">
        <v>0</v>
      </c>
      <c r="G43" s="4">
        <f t="shared" si="0"/>
        <v>0</v>
      </c>
      <c r="H43" s="6">
        <v>0</v>
      </c>
      <c r="I43" s="4">
        <f t="shared" si="3"/>
        <v>0</v>
      </c>
      <c r="J43" s="4">
        <v>0</v>
      </c>
      <c r="K43" s="4">
        <f t="shared" si="4"/>
        <v>0</v>
      </c>
    </row>
    <row r="44" spans="2:11" ht="15" customHeight="1" x14ac:dyDescent="0.3">
      <c r="B44" s="16" t="s">
        <v>60</v>
      </c>
      <c r="C44" s="3" t="s">
        <v>61</v>
      </c>
      <c r="D44" s="6">
        <v>0</v>
      </c>
      <c r="E44" s="4">
        <v>0</v>
      </c>
      <c r="F44" s="6">
        <v>0</v>
      </c>
      <c r="G44" s="4">
        <f t="shared" si="0"/>
        <v>0</v>
      </c>
      <c r="H44" s="6">
        <v>0</v>
      </c>
      <c r="I44" s="4">
        <f t="shared" si="3"/>
        <v>0</v>
      </c>
      <c r="J44" s="4">
        <v>0</v>
      </c>
      <c r="K44" s="4">
        <f t="shared" si="4"/>
        <v>0</v>
      </c>
    </row>
    <row r="45" spans="2:11" ht="7.5" customHeight="1" x14ac:dyDescent="0.3">
      <c r="B45" s="16"/>
      <c r="D45" s="6"/>
      <c r="E45" s="4"/>
      <c r="F45" s="6"/>
      <c r="G45" s="4">
        <f t="shared" si="0"/>
        <v>0</v>
      </c>
      <c r="H45" s="6"/>
      <c r="I45" s="4"/>
      <c r="J45" s="4"/>
      <c r="K45" s="4"/>
    </row>
    <row r="46" spans="2:11" ht="15" customHeight="1" x14ac:dyDescent="0.3">
      <c r="B46" s="16" t="s">
        <v>62</v>
      </c>
      <c r="C46" s="3" t="s">
        <v>63</v>
      </c>
      <c r="D46" s="6">
        <v>0</v>
      </c>
      <c r="E46" s="4">
        <v>0</v>
      </c>
      <c r="F46" s="6">
        <v>0</v>
      </c>
      <c r="G46" s="4">
        <f t="shared" si="0"/>
        <v>0</v>
      </c>
      <c r="H46" s="6">
        <v>0</v>
      </c>
      <c r="I46" s="4">
        <f t="shared" si="3"/>
        <v>0</v>
      </c>
      <c r="J46" s="4">
        <v>0</v>
      </c>
      <c r="K46" s="4">
        <f t="shared" si="4"/>
        <v>0</v>
      </c>
    </row>
    <row r="47" spans="2:11" ht="15" customHeight="1" x14ac:dyDescent="0.3">
      <c r="B47" s="16" t="s">
        <v>64</v>
      </c>
      <c r="C47" s="3" t="s">
        <v>65</v>
      </c>
      <c r="D47" s="6">
        <v>0</v>
      </c>
      <c r="E47" s="4">
        <v>0</v>
      </c>
      <c r="F47" s="6">
        <v>0</v>
      </c>
      <c r="G47" s="4">
        <f t="shared" si="0"/>
        <v>0</v>
      </c>
      <c r="H47" s="6">
        <v>0</v>
      </c>
      <c r="I47" s="4">
        <f t="shared" si="3"/>
        <v>0</v>
      </c>
      <c r="J47" s="4">
        <v>0</v>
      </c>
      <c r="K47" s="4">
        <f t="shared" si="4"/>
        <v>0</v>
      </c>
    </row>
    <row r="48" spans="2:11" ht="7.5" customHeight="1" x14ac:dyDescent="0.3">
      <c r="B48" s="16"/>
      <c r="D48" s="6"/>
      <c r="E48" s="4"/>
      <c r="F48" s="6"/>
      <c r="G48" s="4">
        <f t="shared" si="0"/>
        <v>0</v>
      </c>
      <c r="H48" s="6"/>
      <c r="I48" s="4"/>
      <c r="J48" s="4"/>
      <c r="K48" s="4"/>
    </row>
    <row r="49" spans="2:11" ht="15" customHeight="1" x14ac:dyDescent="0.3">
      <c r="B49" s="16" t="s">
        <v>66</v>
      </c>
      <c r="C49" s="3" t="s">
        <v>67</v>
      </c>
      <c r="D49" s="6">
        <v>0</v>
      </c>
      <c r="E49" s="4">
        <v>0</v>
      </c>
      <c r="F49" s="6">
        <v>0</v>
      </c>
      <c r="G49" s="4">
        <f t="shared" si="0"/>
        <v>0</v>
      </c>
      <c r="H49" s="6">
        <v>0</v>
      </c>
      <c r="I49" s="4">
        <f t="shared" si="3"/>
        <v>0</v>
      </c>
      <c r="J49" s="4">
        <v>0</v>
      </c>
      <c r="K49" s="4">
        <f t="shared" si="4"/>
        <v>0</v>
      </c>
    </row>
    <row r="50" spans="2:11" ht="15" customHeight="1" x14ac:dyDescent="0.3">
      <c r="B50" s="32" t="s">
        <v>68</v>
      </c>
      <c r="C50" s="33" t="s">
        <v>69</v>
      </c>
      <c r="D50" s="34">
        <v>0</v>
      </c>
      <c r="E50" s="35">
        <v>0</v>
      </c>
      <c r="F50" s="34">
        <v>0</v>
      </c>
      <c r="G50" s="35">
        <f t="shared" si="0"/>
        <v>0</v>
      </c>
      <c r="H50" s="34">
        <v>0</v>
      </c>
      <c r="I50" s="35">
        <f t="shared" si="3"/>
        <v>0</v>
      </c>
      <c r="J50" s="35">
        <v>0</v>
      </c>
      <c r="K50" s="35">
        <f t="shared" si="4"/>
        <v>0</v>
      </c>
    </row>
    <row r="51" spans="2:11" ht="15" customHeight="1" x14ac:dyDescent="0.3">
      <c r="D51" s="6"/>
      <c r="E51"/>
      <c r="F51" s="6"/>
      <c r="G51"/>
      <c r="H51" s="6"/>
    </row>
    <row r="52" spans="2:11" ht="15" customHeight="1" x14ac:dyDescent="0.3">
      <c r="B52" s="36" t="str">
        <f>"="</f>
        <v>=</v>
      </c>
      <c r="C52" s="37" t="s">
        <v>70</v>
      </c>
      <c r="D52" s="38">
        <v>-14069.850000000006</v>
      </c>
      <c r="E52" s="39">
        <v>-5.9871702127659603</v>
      </c>
      <c r="F52" s="38">
        <v>-14069.850000000006</v>
      </c>
      <c r="G52" s="39">
        <f t="shared" si="0"/>
        <v>-5.8424999688562806</v>
      </c>
      <c r="H52" s="38">
        <f>H38-H36</f>
        <v>-4918.2799999999988</v>
      </c>
      <c r="I52" s="39" t="str">
        <f>IFERROR(H52/#REF!,"n/a")</f>
        <v>n/a</v>
      </c>
      <c r="J52" s="38">
        <f>J38-J36</f>
        <v>-22005.899999999994</v>
      </c>
      <c r="K52" s="39">
        <f>IFERROR(J52/$J$7,"n/a")</f>
        <v>-6.8768437499999981</v>
      </c>
    </row>
    <row r="53" spans="2:11" ht="15" customHeight="1" x14ac:dyDescent="0.3">
      <c r="D53" s="155"/>
      <c r="E53"/>
    </row>
    <row r="54" spans="2:11" ht="15" customHeight="1" x14ac:dyDescent="0.3">
      <c r="D54" s="155"/>
      <c r="E54"/>
    </row>
    <row r="55" spans="2:11" ht="15" customHeight="1" x14ac:dyDescent="0.3">
      <c r="D55" s="155"/>
      <c r="E55"/>
    </row>
    <row r="56" spans="2:11" ht="15" customHeight="1" x14ac:dyDescent="0.3">
      <c r="D56" s="155"/>
      <c r="E56"/>
    </row>
    <row r="57" spans="2:11" ht="15" customHeight="1" x14ac:dyDescent="0.3">
      <c r="D57" s="155"/>
      <c r="E57"/>
    </row>
    <row r="58" spans="2:11" ht="15" customHeight="1" x14ac:dyDescent="0.3">
      <c r="D58" s="155"/>
      <c r="E58"/>
    </row>
    <row r="59" spans="2:11" ht="15" customHeight="1" x14ac:dyDescent="0.3">
      <c r="D59" s="155"/>
      <c r="E59" s="162"/>
    </row>
    <row r="60" spans="2:11" ht="15" customHeight="1" x14ac:dyDescent="0.3">
      <c r="D60" s="155"/>
      <c r="E60" s="162"/>
    </row>
    <row r="61" spans="2:11" ht="15" customHeight="1" x14ac:dyDescent="0.3">
      <c r="D61" s="155"/>
      <c r="E61" s="162"/>
    </row>
    <row r="62" spans="2:11" ht="15" customHeight="1" x14ac:dyDescent="0.3">
      <c r="D62" s="155"/>
      <c r="E62" s="162"/>
    </row>
    <row r="63" spans="2:11" ht="15" customHeight="1" x14ac:dyDescent="0.3">
      <c r="D63" s="155"/>
      <c r="E63" s="162"/>
    </row>
    <row r="64" spans="2:11" ht="15" customHeight="1" x14ac:dyDescent="0.3">
      <c r="D64" s="155"/>
      <c r="E64" s="162"/>
    </row>
    <row r="65" spans="4:5" ht="15" customHeight="1" x14ac:dyDescent="0.3">
      <c r="D65" s="155"/>
      <c r="E65" s="162"/>
    </row>
    <row r="66" spans="4:5" ht="15" customHeight="1" x14ac:dyDescent="0.3">
      <c r="D66" s="155"/>
      <c r="E66" s="162"/>
    </row>
    <row r="67" spans="4:5" ht="15" customHeight="1" x14ac:dyDescent="0.3">
      <c r="D67" s="155"/>
      <c r="E67" s="162"/>
    </row>
    <row r="68" spans="4:5" ht="15" customHeight="1" x14ac:dyDescent="0.3">
      <c r="D68" s="155"/>
      <c r="E68" s="162"/>
    </row>
  </sheetData>
  <mergeCells count="4">
    <mergeCell ref="H10:I10"/>
    <mergeCell ref="J10:K10"/>
    <mergeCell ref="D10:E10"/>
    <mergeCell ref="F10:G10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21D6-313B-4C34-AD77-7E1E1DE5BBF7}">
  <dimension ref="A1:H38"/>
  <sheetViews>
    <sheetView showGridLines="0" topLeftCell="A25" zoomScale="140" zoomScaleNormal="140" zoomScaleSheetLayoutView="140" workbookViewId="0">
      <selection activeCell="G33" sqref="G33"/>
    </sheetView>
  </sheetViews>
  <sheetFormatPr defaultRowHeight="14.4" x14ac:dyDescent="0.3"/>
  <cols>
    <col min="2" max="2" width="46.6640625" bestFit="1" customWidth="1"/>
    <col min="3" max="3" width="8.6640625" style="7" customWidth="1"/>
    <col min="4" max="4" width="8.6640625" customWidth="1"/>
    <col min="5" max="5" width="8.6640625" style="7" customWidth="1"/>
    <col min="6" max="6" width="8.6640625" customWidth="1"/>
    <col min="7" max="8" width="10.44140625" customWidth="1"/>
  </cols>
  <sheetData>
    <row r="1" spans="1:8" ht="17.100000000000001" customHeight="1" x14ac:dyDescent="0.4">
      <c r="A1" s="3"/>
      <c r="B1" s="40" t="s">
        <v>129</v>
      </c>
    </row>
    <row r="2" spans="1:8" ht="15" customHeight="1" x14ac:dyDescent="0.3">
      <c r="A2" s="3"/>
    </row>
    <row r="3" spans="1:8" ht="15" customHeight="1" x14ac:dyDescent="0.3">
      <c r="A3" s="3"/>
      <c r="B3" s="51" t="s">
        <v>116</v>
      </c>
      <c r="C3" s="52"/>
      <c r="D3" s="51"/>
      <c r="E3" s="52"/>
    </row>
    <row r="4" spans="1:8" ht="15" customHeight="1" x14ac:dyDescent="0.3">
      <c r="A4" s="3"/>
      <c r="B4" s="1"/>
      <c r="C4" s="53" t="s">
        <v>117</v>
      </c>
      <c r="D4" s="1"/>
      <c r="E4" s="53" t="s">
        <v>118</v>
      </c>
      <c r="F4" s="2" t="s">
        <v>71</v>
      </c>
      <c r="G4" s="2" t="s">
        <v>72</v>
      </c>
      <c r="H4" s="2" t="s">
        <v>2</v>
      </c>
    </row>
    <row r="5" spans="1:8" ht="15" customHeight="1" x14ac:dyDescent="0.3">
      <c r="A5" s="3"/>
      <c r="B5" s="3" t="s">
        <v>133</v>
      </c>
      <c r="C5" s="5"/>
      <c r="D5" s="3"/>
      <c r="E5" s="5" t="s">
        <v>119</v>
      </c>
      <c r="F5" s="6">
        <v>0</v>
      </c>
      <c r="G5" s="4">
        <v>2</v>
      </c>
      <c r="H5" s="4">
        <f>F5*G5</f>
        <v>0</v>
      </c>
    </row>
    <row r="6" spans="1:8" ht="15" customHeight="1" x14ac:dyDescent="0.3">
      <c r="A6" s="3"/>
      <c r="B6" s="3"/>
      <c r="C6" s="5"/>
      <c r="D6" s="3"/>
      <c r="E6" s="5"/>
      <c r="F6" s="8"/>
      <c r="G6" s="8"/>
      <c r="H6" s="8"/>
    </row>
    <row r="7" spans="1:8" ht="15" customHeight="1" x14ac:dyDescent="0.3">
      <c r="A7" s="3"/>
      <c r="B7" s="51" t="s">
        <v>186</v>
      </c>
      <c r="C7" s="52"/>
      <c r="D7" s="51"/>
      <c r="E7" s="52"/>
    </row>
    <row r="8" spans="1:8" ht="15" customHeight="1" x14ac:dyDescent="0.3">
      <c r="A8" s="3"/>
      <c r="B8" s="1"/>
      <c r="C8" s="53" t="s">
        <v>117</v>
      </c>
      <c r="D8" s="1"/>
      <c r="E8" s="53" t="s">
        <v>118</v>
      </c>
      <c r="F8" s="2" t="s">
        <v>71</v>
      </c>
      <c r="G8" s="2" t="s">
        <v>72</v>
      </c>
      <c r="H8" s="2" t="s">
        <v>2</v>
      </c>
    </row>
    <row r="9" spans="1:8" ht="15" customHeight="1" x14ac:dyDescent="0.3">
      <c r="A9" s="3"/>
      <c r="B9" s="3" t="s">
        <v>82</v>
      </c>
      <c r="C9" s="5"/>
      <c r="D9" s="3"/>
      <c r="E9" s="5" t="s">
        <v>2</v>
      </c>
      <c r="F9" s="4">
        <v>1.9</v>
      </c>
      <c r="G9" s="4">
        <f>'skutečné náklady 23'!F4</f>
        <v>297</v>
      </c>
      <c r="H9" s="4">
        <f>F9*G9</f>
        <v>564.29999999999995</v>
      </c>
    </row>
    <row r="10" spans="1:8" ht="15" customHeight="1" x14ac:dyDescent="0.3">
      <c r="A10" s="3"/>
      <c r="B10" s="3"/>
      <c r="C10" s="5"/>
      <c r="D10" s="3"/>
      <c r="E10" s="5"/>
      <c r="F10" s="8"/>
      <c r="G10" s="8"/>
      <c r="H10" s="8"/>
    </row>
    <row r="11" spans="1:8" ht="15" customHeight="1" x14ac:dyDescent="0.3">
      <c r="A11" s="3"/>
      <c r="B11" s="51" t="s">
        <v>139</v>
      </c>
      <c r="C11" s="52"/>
      <c r="D11" s="51"/>
      <c r="E11" s="52"/>
    </row>
    <row r="12" spans="1:8" ht="15" customHeight="1" x14ac:dyDescent="0.3">
      <c r="A12" s="3"/>
      <c r="B12" s="1"/>
      <c r="C12" s="53" t="s">
        <v>117</v>
      </c>
      <c r="D12" s="1"/>
      <c r="E12" s="53" t="s">
        <v>118</v>
      </c>
      <c r="F12" s="2" t="s">
        <v>71</v>
      </c>
      <c r="G12" s="2" t="s">
        <v>72</v>
      </c>
      <c r="H12" s="2" t="s">
        <v>2</v>
      </c>
    </row>
    <row r="13" spans="1:8" ht="15" customHeight="1" x14ac:dyDescent="0.3">
      <c r="A13" s="3"/>
      <c r="B13" s="3" t="s">
        <v>138</v>
      </c>
      <c r="C13" s="5"/>
      <c r="D13" s="3"/>
      <c r="E13" s="5" t="s">
        <v>119</v>
      </c>
      <c r="F13" s="189">
        <v>1</v>
      </c>
      <c r="G13" s="4">
        <v>505</v>
      </c>
      <c r="H13" s="4">
        <f>F13*G13</f>
        <v>505</v>
      </c>
    </row>
    <row r="14" spans="1:8" ht="15" customHeight="1" x14ac:dyDescent="0.3">
      <c r="A14" s="3"/>
      <c r="B14" s="3"/>
      <c r="C14" s="5"/>
      <c r="D14" s="3"/>
      <c r="E14" s="5"/>
      <c r="F14" s="8"/>
      <c r="G14" s="8"/>
      <c r="H14" s="8"/>
    </row>
    <row r="15" spans="1:8" ht="15" customHeight="1" x14ac:dyDescent="0.3">
      <c r="A15" s="3"/>
      <c r="B15" s="9" t="s">
        <v>122</v>
      </c>
      <c r="C15" s="54"/>
      <c r="D15" s="9"/>
      <c r="E15" s="5"/>
      <c r="F15" s="8"/>
      <c r="G15" s="8"/>
      <c r="H15" s="8"/>
    </row>
    <row r="16" spans="1:8" ht="15" customHeight="1" x14ac:dyDescent="0.3">
      <c r="A16" s="3"/>
      <c r="B16" s="1"/>
      <c r="C16" s="53"/>
      <c r="D16" s="1"/>
      <c r="E16" s="53" t="s">
        <v>120</v>
      </c>
      <c r="F16" s="2" t="s">
        <v>71</v>
      </c>
      <c r="G16" s="2" t="s">
        <v>72</v>
      </c>
      <c r="H16" s="2" t="s">
        <v>2</v>
      </c>
    </row>
    <row r="17" spans="1:8" ht="15" customHeight="1" x14ac:dyDescent="0.3">
      <c r="A17" s="3"/>
      <c r="B17" s="3" t="s">
        <v>123</v>
      </c>
      <c r="C17" s="5"/>
      <c r="D17" s="3"/>
      <c r="E17" s="5" t="s">
        <v>121</v>
      </c>
      <c r="F17" s="41">
        <v>1.1499999999999999</v>
      </c>
      <c r="G17" s="4">
        <f>'V Bystré'!H18</f>
        <v>0</v>
      </c>
      <c r="H17" s="4">
        <f>G17*F17</f>
        <v>0</v>
      </c>
    </row>
    <row r="18" spans="1:8" ht="15" customHeight="1" x14ac:dyDescent="0.3">
      <c r="A18" s="3"/>
      <c r="B18" s="3" t="s">
        <v>124</v>
      </c>
      <c r="C18" s="5"/>
      <c r="D18" s="3"/>
      <c r="E18" s="5"/>
      <c r="F18" s="55">
        <v>0</v>
      </c>
      <c r="G18" s="41">
        <v>0</v>
      </c>
      <c r="H18" s="4">
        <f>G18*F18</f>
        <v>0</v>
      </c>
    </row>
    <row r="19" spans="1:8" ht="15" customHeight="1" x14ac:dyDescent="0.3">
      <c r="A19" s="3"/>
      <c r="B19" s="42" t="s">
        <v>73</v>
      </c>
      <c r="C19" s="56"/>
      <c r="D19" s="57"/>
      <c r="E19" s="56"/>
      <c r="F19" s="44"/>
      <c r="G19" s="45"/>
      <c r="H19" s="45">
        <f>SUM(H17:H18)</f>
        <v>0</v>
      </c>
    </row>
    <row r="20" spans="1:8" ht="15" customHeight="1" x14ac:dyDescent="0.3">
      <c r="A20" s="3"/>
      <c r="B20" s="3"/>
      <c r="C20" s="5"/>
      <c r="D20" s="3"/>
      <c r="E20" s="5"/>
      <c r="F20" s="8"/>
      <c r="G20" s="8"/>
      <c r="H20" s="8"/>
    </row>
    <row r="21" spans="1:8" ht="15" customHeight="1" x14ac:dyDescent="0.3">
      <c r="A21" s="3"/>
      <c r="B21" s="9" t="s">
        <v>279</v>
      </c>
      <c r="F21" s="8"/>
      <c r="G21" s="4"/>
      <c r="H21" s="4"/>
    </row>
    <row r="22" spans="1:8" ht="15" customHeight="1" x14ac:dyDescent="0.3">
      <c r="A22" s="3"/>
      <c r="B22" s="1"/>
      <c r="C22" s="50"/>
      <c r="D22" s="2"/>
      <c r="E22" s="53" t="s">
        <v>120</v>
      </c>
      <c r="F22" s="2" t="s">
        <v>71</v>
      </c>
      <c r="G22" s="2" t="s">
        <v>72</v>
      </c>
      <c r="H22" s="2" t="s">
        <v>2</v>
      </c>
    </row>
    <row r="23" spans="1:8" ht="15" customHeight="1" x14ac:dyDescent="0.3">
      <c r="A23" s="3"/>
      <c r="B23" s="3" t="s">
        <v>280</v>
      </c>
      <c r="C23" s="58" t="s">
        <v>28</v>
      </c>
      <c r="D23" s="59"/>
      <c r="E23" s="58" t="s">
        <v>2</v>
      </c>
      <c r="F23" s="41">
        <v>12</v>
      </c>
      <c r="G23" s="41">
        <v>400</v>
      </c>
      <c r="H23" s="4">
        <f>F23*G23</f>
        <v>4800</v>
      </c>
    </row>
    <row r="24" spans="1:8" ht="15" customHeight="1" x14ac:dyDescent="0.3">
      <c r="A24" s="3"/>
      <c r="B24" s="60" t="s">
        <v>73</v>
      </c>
      <c r="C24" s="61"/>
      <c r="D24" s="62"/>
      <c r="E24" s="63"/>
      <c r="F24" s="64"/>
      <c r="G24" s="65"/>
      <c r="H24" s="65">
        <f>SUM(H23:H23)</f>
        <v>4800</v>
      </c>
    </row>
    <row r="25" spans="1:8" ht="15" customHeight="1" x14ac:dyDescent="0.3">
      <c r="A25" s="3"/>
      <c r="B25" s="3"/>
      <c r="C25" s="5"/>
      <c r="D25" s="3"/>
      <c r="E25" s="5"/>
      <c r="F25" s="8"/>
      <c r="G25" s="8"/>
      <c r="H25" s="8"/>
    </row>
    <row r="26" spans="1:8" ht="15" customHeight="1" x14ac:dyDescent="0.3">
      <c r="A26" s="3"/>
      <c r="B26" s="9" t="s">
        <v>125</v>
      </c>
      <c r="F26" s="8"/>
      <c r="G26" s="4"/>
      <c r="H26" s="4"/>
    </row>
    <row r="27" spans="1:8" ht="15" customHeight="1" x14ac:dyDescent="0.3">
      <c r="A27" s="3"/>
      <c r="B27" s="1"/>
      <c r="C27" s="50"/>
      <c r="D27" s="2"/>
      <c r="E27" s="53" t="s">
        <v>120</v>
      </c>
      <c r="F27" s="2" t="s">
        <v>71</v>
      </c>
      <c r="G27" s="2" t="s">
        <v>72</v>
      </c>
      <c r="H27" s="2" t="s">
        <v>2</v>
      </c>
    </row>
    <row r="28" spans="1:8" ht="15" customHeight="1" x14ac:dyDescent="0.3">
      <c r="A28" s="3"/>
      <c r="B28" s="3" t="s">
        <v>185</v>
      </c>
      <c r="C28" s="58" t="s">
        <v>28</v>
      </c>
      <c r="D28" s="59"/>
      <c r="E28" s="58" t="s">
        <v>2</v>
      </c>
      <c r="F28" s="41">
        <v>0</v>
      </c>
      <c r="G28" s="41">
        <v>0</v>
      </c>
      <c r="H28" s="190">
        <v>20000</v>
      </c>
    </row>
    <row r="29" spans="1:8" ht="15" customHeight="1" x14ac:dyDescent="0.3">
      <c r="A29" s="3"/>
      <c r="B29" s="60" t="s">
        <v>73</v>
      </c>
      <c r="C29" s="61"/>
      <c r="D29" s="62"/>
      <c r="E29" s="63"/>
      <c r="F29" s="64"/>
      <c r="G29" s="65"/>
      <c r="H29" s="65">
        <f>SUM(H28:H28)</f>
        <v>20000</v>
      </c>
    </row>
    <row r="30" spans="1:8" ht="15" customHeight="1" x14ac:dyDescent="0.3">
      <c r="A30" s="3"/>
      <c r="B30" s="3"/>
      <c r="C30" s="5"/>
      <c r="D30" s="3"/>
      <c r="E30" s="5"/>
      <c r="F30" s="8"/>
      <c r="G30" s="4"/>
      <c r="H30" s="4"/>
    </row>
    <row r="31" spans="1:8" ht="17.100000000000001" customHeight="1" x14ac:dyDescent="0.3">
      <c r="A31" s="3"/>
      <c r="B31" s="9" t="s">
        <v>80</v>
      </c>
      <c r="C31" s="5"/>
      <c r="D31" s="3"/>
      <c r="E31" s="5"/>
      <c r="F31" s="8"/>
      <c r="G31" s="4"/>
      <c r="H31" s="4"/>
    </row>
    <row r="32" spans="1:8" ht="15" customHeight="1" x14ac:dyDescent="0.3">
      <c r="A32" s="3"/>
      <c r="B32" s="1"/>
      <c r="C32" s="2"/>
      <c r="D32" s="2"/>
      <c r="E32" s="2"/>
      <c r="F32" s="2" t="s">
        <v>71</v>
      </c>
      <c r="G32" s="2" t="s">
        <v>72</v>
      </c>
      <c r="H32" s="2" t="s">
        <v>2</v>
      </c>
    </row>
    <row r="33" spans="1:8" ht="15" customHeight="1" x14ac:dyDescent="0.3">
      <c r="A33" s="3"/>
      <c r="B33" s="3" t="s">
        <v>126</v>
      </c>
      <c r="C33" s="5"/>
      <c r="D33" s="3"/>
      <c r="E33" s="5" t="s">
        <v>74</v>
      </c>
      <c r="F33" s="41">
        <v>1.05</v>
      </c>
      <c r="G33" s="55">
        <f>20209*4/3</f>
        <v>26945.333333333332</v>
      </c>
      <c r="H33" s="46">
        <f t="shared" ref="H33:H36" si="0">G33*F33</f>
        <v>28292.6</v>
      </c>
    </row>
    <row r="34" spans="1:8" ht="15" customHeight="1" x14ac:dyDescent="0.3">
      <c r="A34" s="3"/>
      <c r="B34" s="3" t="s">
        <v>0</v>
      </c>
      <c r="C34" s="5"/>
      <c r="D34" s="3"/>
      <c r="E34" s="5"/>
      <c r="F34" s="41">
        <v>1</v>
      </c>
      <c r="G34" s="55">
        <v>6752</v>
      </c>
      <c r="H34" s="46">
        <f t="shared" si="0"/>
        <v>6752</v>
      </c>
    </row>
    <row r="35" spans="1:8" ht="15" customHeight="1" x14ac:dyDescent="0.3">
      <c r="A35" s="3"/>
      <c r="B35" s="3" t="s">
        <v>79</v>
      </c>
      <c r="C35" s="5"/>
      <c r="D35" s="3"/>
      <c r="E35" s="5"/>
      <c r="F35" s="41">
        <v>2</v>
      </c>
      <c r="G35" s="55">
        <v>2900</v>
      </c>
      <c r="H35" s="46">
        <f t="shared" si="0"/>
        <v>5800</v>
      </c>
    </row>
    <row r="36" spans="1:8" ht="15" customHeight="1" x14ac:dyDescent="0.3">
      <c r="A36" s="3"/>
      <c r="B36" s="3" t="s">
        <v>110</v>
      </c>
      <c r="C36" s="5"/>
      <c r="D36" s="3"/>
      <c r="E36" s="5"/>
      <c r="F36" s="41">
        <v>1</v>
      </c>
      <c r="G36" s="55">
        <v>0</v>
      </c>
      <c r="H36" s="46">
        <f t="shared" si="0"/>
        <v>0</v>
      </c>
    </row>
    <row r="37" spans="1:8" ht="15" customHeight="1" x14ac:dyDescent="0.3">
      <c r="A37" s="3"/>
      <c r="B37" s="42" t="s">
        <v>73</v>
      </c>
      <c r="C37" s="43"/>
      <c r="D37" s="42"/>
      <c r="E37" s="43"/>
      <c r="F37" s="44"/>
      <c r="G37" s="45"/>
      <c r="H37" s="47">
        <f>SUM(H33:H36)</f>
        <v>40844.6</v>
      </c>
    </row>
    <row r="38" spans="1:8" ht="15" customHeight="1" x14ac:dyDescent="0.3">
      <c r="A38" s="3"/>
      <c r="B38" s="3"/>
      <c r="C38" s="5"/>
      <c r="D38" s="3"/>
      <c r="E38" s="5"/>
      <c r="F38" s="8"/>
      <c r="G38" s="4"/>
      <c r="H38" s="4"/>
    </row>
  </sheetData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D895-F0EA-44D5-A8FC-FDBDCEF43E96}">
  <dimension ref="B2:K68"/>
  <sheetViews>
    <sheetView showGridLines="0" view="pageBreakPreview" zoomScale="130" zoomScaleNormal="100" zoomScaleSheetLayoutView="130" workbookViewId="0">
      <selection activeCell="F2" sqref="F2"/>
    </sheetView>
  </sheetViews>
  <sheetFormatPr defaultRowHeight="15" customHeight="1" outlineLevelRow="1" x14ac:dyDescent="0.3"/>
  <cols>
    <col min="2" max="2" width="6.6640625" style="3" bestFit="1" customWidth="1"/>
    <col min="3" max="3" width="31.6640625" style="3" customWidth="1"/>
    <col min="4" max="7" width="8.6640625" style="3" customWidth="1"/>
    <col min="8" max="11" width="8.6640625" customWidth="1"/>
  </cols>
  <sheetData>
    <row r="2" spans="2:11" ht="25.8" x14ac:dyDescent="0.5">
      <c r="B2" s="12" t="s">
        <v>114</v>
      </c>
    </row>
    <row r="4" spans="2:11" ht="15" customHeight="1" x14ac:dyDescent="0.3">
      <c r="B4" s="13" t="s">
        <v>75</v>
      </c>
      <c r="C4" s="14"/>
      <c r="D4" s="14" t="s">
        <v>76</v>
      </c>
      <c r="E4" s="14"/>
      <c r="F4" s="14" t="s">
        <v>194</v>
      </c>
      <c r="G4" s="14"/>
      <c r="H4" s="15" t="s">
        <v>192</v>
      </c>
      <c r="J4" s="15" t="s">
        <v>190</v>
      </c>
    </row>
    <row r="5" spans="2:11" ht="15" customHeight="1" x14ac:dyDescent="0.3">
      <c r="B5" s="16" t="s">
        <v>130</v>
      </c>
      <c r="D5" s="168">
        <v>3600</v>
      </c>
      <c r="F5" s="191">
        <v>3600</v>
      </c>
      <c r="H5" s="141">
        <f>F5*4/3</f>
        <v>4800</v>
      </c>
      <c r="J5" s="140">
        <f>J7/(1-J6)</f>
        <v>4800</v>
      </c>
    </row>
    <row r="6" spans="2:11" ht="15" customHeight="1" x14ac:dyDescent="0.3">
      <c r="B6" s="16" t="s">
        <v>131</v>
      </c>
      <c r="D6" s="169">
        <v>0</v>
      </c>
      <c r="F6" s="169">
        <v>0</v>
      </c>
      <c r="H6" s="144">
        <v>0</v>
      </c>
      <c r="J6" s="143">
        <v>0</v>
      </c>
    </row>
    <row r="7" spans="2:11" ht="15" customHeight="1" x14ac:dyDescent="0.3">
      <c r="B7" s="17" t="s">
        <v>132</v>
      </c>
      <c r="C7" s="18"/>
      <c r="D7" s="170">
        <v>3600</v>
      </c>
      <c r="E7" s="18"/>
      <c r="F7" s="170">
        <v>3535.45</v>
      </c>
      <c r="G7" s="18"/>
      <c r="H7" s="139">
        <f>F7*4/3</f>
        <v>4713.9333333333334</v>
      </c>
      <c r="I7" s="138"/>
      <c r="J7" s="48">
        <v>4800</v>
      </c>
    </row>
    <row r="8" spans="2:11" ht="15" customHeight="1" x14ac:dyDescent="0.3">
      <c r="H8" s="8"/>
    </row>
    <row r="9" spans="2:11" ht="17.100000000000001" customHeight="1" x14ac:dyDescent="0.3"/>
    <row r="10" spans="2:11" ht="15" customHeight="1" x14ac:dyDescent="0.3">
      <c r="B10" s="10"/>
      <c r="C10" s="11"/>
      <c r="D10" s="159" t="s">
        <v>1</v>
      </c>
      <c r="E10" s="159"/>
      <c r="F10" s="159" t="s">
        <v>194</v>
      </c>
      <c r="G10" s="159"/>
      <c r="H10" s="146" t="s">
        <v>195</v>
      </c>
      <c r="I10" s="146"/>
      <c r="J10" s="147" t="s">
        <v>191</v>
      </c>
      <c r="K10" s="147"/>
    </row>
    <row r="11" spans="2:11" ht="15" customHeight="1" x14ac:dyDescent="0.3">
      <c r="B11" s="10"/>
      <c r="C11" s="11"/>
      <c r="D11" s="11" t="s">
        <v>2</v>
      </c>
      <c r="E11" s="11" t="s">
        <v>187</v>
      </c>
      <c r="F11" s="11" t="s">
        <v>2</v>
      </c>
      <c r="G11" s="11" t="s">
        <v>187</v>
      </c>
      <c r="H11" s="11" t="s">
        <v>2</v>
      </c>
      <c r="I11" s="11" t="str">
        <f>"Kč/m"&amp;UPPER("3")</f>
        <v>Kč/m3</v>
      </c>
      <c r="J11" s="19" t="s">
        <v>2</v>
      </c>
      <c r="K11" s="19" t="str">
        <f>"Kč/m"&amp;UPPER("3")</f>
        <v>Kč/m3</v>
      </c>
    </row>
    <row r="12" spans="2:11" ht="15" customHeight="1" x14ac:dyDescent="0.3">
      <c r="B12" s="20" t="s">
        <v>3</v>
      </c>
      <c r="C12" s="21" t="s">
        <v>4</v>
      </c>
      <c r="D12" s="22">
        <f>SUM(D13:D16)</f>
        <v>804.97</v>
      </c>
      <c r="E12" s="23">
        <f>IFERROR(D12/$D$7,"n/a")</f>
        <v>0.22360277777777779</v>
      </c>
      <c r="F12" s="22">
        <f>SUM(F13:F16)</f>
        <v>412.5</v>
      </c>
      <c r="G12" s="23">
        <f>IFERROR(F12/$F$7,"n/a")</f>
        <v>0.11667538785727419</v>
      </c>
      <c r="H12" s="22">
        <f>SUM(H13:H16)</f>
        <v>550</v>
      </c>
      <c r="I12" s="23">
        <f>IFERROR(H12/$H$7,"n/a")</f>
        <v>0.11667538785727417</v>
      </c>
      <c r="J12" s="22">
        <f>SUM(J13:J16)</f>
        <v>1055</v>
      </c>
      <c r="K12" s="23">
        <f>IFERROR(J12/$J$7,"n/a")</f>
        <v>0.21979166666666666</v>
      </c>
    </row>
    <row r="13" spans="2:11" ht="15" customHeight="1" x14ac:dyDescent="0.3">
      <c r="B13" s="16" t="s">
        <v>135</v>
      </c>
      <c r="C13" s="3" t="s">
        <v>136</v>
      </c>
      <c r="D13" s="6">
        <v>0</v>
      </c>
      <c r="E13" s="4">
        <f t="shared" ref="E13:E50" si="0">IFERROR(D13/$D$7,"n/a")</f>
        <v>0</v>
      </c>
      <c r="F13" s="6">
        <f>SUMIFS('skutečné náklady 25'!$J:$J,'skutečné náklady 25'!$F:$F,"Kocourov",'skutečné náklady 25'!$E:$E,"vodné",'skutečné náklady 25'!$L:$L,$B13)</f>
        <v>0</v>
      </c>
      <c r="G13" s="4">
        <f t="shared" ref="G13:G52" si="1">IFERROR(F13/$F$7,"n/a")</f>
        <v>0</v>
      </c>
      <c r="H13" s="6">
        <f>F13*4/3</f>
        <v>0</v>
      </c>
      <c r="I13" s="4">
        <f t="shared" ref="I13" si="2">IFERROR(H13/$H$7,"n/a")</f>
        <v>0</v>
      </c>
      <c r="J13" s="6">
        <f>'Předpoklady Kocourov V'!H5</f>
        <v>0</v>
      </c>
      <c r="K13" s="4">
        <f t="shared" ref="K13" si="3">IFERROR(J13/$J$7,"n/a")</f>
        <v>0</v>
      </c>
    </row>
    <row r="14" spans="2:11" ht="15" customHeight="1" x14ac:dyDescent="0.3">
      <c r="B14" s="16" t="s">
        <v>5</v>
      </c>
      <c r="C14" s="3" t="s">
        <v>78</v>
      </c>
      <c r="D14" s="6">
        <v>0</v>
      </c>
      <c r="E14" s="4">
        <f t="shared" si="0"/>
        <v>0</v>
      </c>
      <c r="F14" s="6">
        <f>SUMIFS('skutečné náklady 25'!$J:$J,'skutečné náklady 25'!$F:$F,"Kocourov",'skutečné náklady 25'!$E:$E,"vodné",'skutečné náklady 25'!$L:$L,$B14)</f>
        <v>0</v>
      </c>
      <c r="G14" s="4">
        <f t="shared" si="1"/>
        <v>0</v>
      </c>
      <c r="H14" s="6">
        <f t="shared" ref="H14:H35" si="4">F14*4/3</f>
        <v>0</v>
      </c>
      <c r="I14" s="4">
        <f t="shared" ref="I14:I36" si="5">IFERROR(H14/$H$7,"n/a")</f>
        <v>0</v>
      </c>
      <c r="J14" s="6">
        <v>0</v>
      </c>
      <c r="K14" s="4">
        <f t="shared" ref="K14:K36" si="6">IFERROR(J14/$J$7,"n/a")</f>
        <v>0</v>
      </c>
    </row>
    <row r="15" spans="2:11" ht="15" customHeight="1" x14ac:dyDescent="0.3">
      <c r="B15" s="16" t="s">
        <v>6</v>
      </c>
      <c r="C15" s="3" t="s">
        <v>7</v>
      </c>
      <c r="D15" s="6">
        <v>299.97000000000003</v>
      </c>
      <c r="E15" s="4">
        <f t="shared" si="0"/>
        <v>8.332500000000001E-2</v>
      </c>
      <c r="F15" s="6">
        <f>SUMIFS('skutečné náklady 25'!$J:$J,'skutečné náklady 25'!$F:$F,"Kocourov",'skutečné náklady 25'!$E:$E,"vodné",'skutečné náklady 25'!$L:$L,$B15)</f>
        <v>412.5</v>
      </c>
      <c r="G15" s="4">
        <f t="shared" si="1"/>
        <v>0.11667538785727419</v>
      </c>
      <c r="H15" s="6">
        <f t="shared" si="4"/>
        <v>550</v>
      </c>
      <c r="I15" s="4">
        <f t="shared" si="5"/>
        <v>0.11667538785727417</v>
      </c>
      <c r="J15" s="6">
        <f>'Předpoklady Kocourov V'!H10</f>
        <v>550</v>
      </c>
      <c r="K15" s="4">
        <f t="shared" si="6"/>
        <v>0.11458333333333333</v>
      </c>
    </row>
    <row r="16" spans="2:11" ht="15" customHeight="1" x14ac:dyDescent="0.3">
      <c r="B16" s="16" t="s">
        <v>8</v>
      </c>
      <c r="C16" s="3" t="s">
        <v>9</v>
      </c>
      <c r="D16" s="6">
        <v>505</v>
      </c>
      <c r="E16" s="4">
        <f t="shared" si="0"/>
        <v>0.14027777777777778</v>
      </c>
      <c r="F16" s="6">
        <f>SUMIFS('skutečné náklady 25'!$J:$J,'skutečné náklady 25'!$F:$F,"Kocourov",'skutečné náklady 25'!$E:$E,"vodné",'skutečné náklady 25'!$L:$L,$B16)</f>
        <v>0</v>
      </c>
      <c r="G16" s="4">
        <f t="shared" si="1"/>
        <v>0</v>
      </c>
      <c r="H16" s="6">
        <f t="shared" si="4"/>
        <v>0</v>
      </c>
      <c r="I16" s="4">
        <f t="shared" si="5"/>
        <v>0</v>
      </c>
      <c r="J16" s="6">
        <f>'Předpoklady Kocourov V'!H14</f>
        <v>505</v>
      </c>
      <c r="K16" s="4">
        <f t="shared" si="6"/>
        <v>0.10520833333333333</v>
      </c>
    </row>
    <row r="17" spans="2:11" ht="15" customHeight="1" x14ac:dyDescent="0.3">
      <c r="B17" s="20" t="s">
        <v>10</v>
      </c>
      <c r="C17" s="21" t="s">
        <v>11</v>
      </c>
      <c r="D17" s="22">
        <v>0</v>
      </c>
      <c r="E17" s="23">
        <f t="shared" si="0"/>
        <v>0</v>
      </c>
      <c r="F17" s="22">
        <f>SUM(F18:F19)</f>
        <v>0</v>
      </c>
      <c r="G17" s="23">
        <f t="shared" si="1"/>
        <v>0</v>
      </c>
      <c r="H17" s="22">
        <f>SUM(H18:H19)</f>
        <v>0</v>
      </c>
      <c r="I17" s="23">
        <f t="shared" si="5"/>
        <v>0</v>
      </c>
      <c r="J17" s="22">
        <f>SUM(J18:J19)</f>
        <v>0</v>
      </c>
      <c r="K17" s="23">
        <f t="shared" si="6"/>
        <v>0</v>
      </c>
    </row>
    <row r="18" spans="2:11" ht="15" customHeight="1" x14ac:dyDescent="0.3">
      <c r="B18" s="16" t="s">
        <v>12</v>
      </c>
      <c r="C18" s="3" t="s">
        <v>13</v>
      </c>
      <c r="D18" s="6">
        <v>0</v>
      </c>
      <c r="E18" s="4">
        <f t="shared" si="0"/>
        <v>0</v>
      </c>
      <c r="F18" s="6">
        <f>SUMIFS('skutečné náklady 25'!$J:$J,'skutečné náklady 25'!$F:$F,"Kocourov",'skutečné náklady 25'!$E:$E,"vodné",'skutečné náklady 25'!$L:$L,$B18)</f>
        <v>0</v>
      </c>
      <c r="G18" s="4">
        <f t="shared" si="1"/>
        <v>0</v>
      </c>
      <c r="H18" s="6">
        <f t="shared" si="4"/>
        <v>0</v>
      </c>
      <c r="I18" s="4">
        <f t="shared" si="5"/>
        <v>0</v>
      </c>
      <c r="J18" s="6">
        <v>0</v>
      </c>
      <c r="K18" s="4">
        <f t="shared" si="6"/>
        <v>0</v>
      </c>
    </row>
    <row r="19" spans="2:11" ht="15" customHeight="1" x14ac:dyDescent="0.3">
      <c r="B19" s="16" t="s">
        <v>14</v>
      </c>
      <c r="C19" s="3" t="s">
        <v>15</v>
      </c>
      <c r="D19" s="6">
        <v>0</v>
      </c>
      <c r="E19" s="4">
        <f t="shared" si="0"/>
        <v>0</v>
      </c>
      <c r="F19" s="6">
        <f>SUMIFS('skutečné náklady 25'!$J:$J,'skutečné náklady 25'!$F:$F,"Kocourov",'skutečné náklady 25'!$E:$E,"vodné",'skutečné náklady 25'!$L:$L,$B19)</f>
        <v>0</v>
      </c>
      <c r="G19" s="4">
        <f t="shared" si="1"/>
        <v>0</v>
      </c>
      <c r="H19" s="6">
        <f t="shared" si="4"/>
        <v>0</v>
      </c>
      <c r="I19" s="4">
        <f t="shared" si="5"/>
        <v>0</v>
      </c>
      <c r="J19" s="4">
        <v>0</v>
      </c>
      <c r="K19" s="4">
        <f t="shared" si="6"/>
        <v>0</v>
      </c>
    </row>
    <row r="20" spans="2:11" ht="15" customHeight="1" x14ac:dyDescent="0.3">
      <c r="B20" s="20" t="s">
        <v>16</v>
      </c>
      <c r="C20" s="21" t="s">
        <v>17</v>
      </c>
      <c r="D20" s="22">
        <v>0</v>
      </c>
      <c r="E20" s="23">
        <f t="shared" si="0"/>
        <v>0</v>
      </c>
      <c r="F20" s="22">
        <f>SUM(F21:F22)</f>
        <v>5400</v>
      </c>
      <c r="G20" s="23">
        <f t="shared" si="1"/>
        <v>1.5273868955861347</v>
      </c>
      <c r="H20" s="22">
        <f>SUM(H21:H22)</f>
        <v>7200</v>
      </c>
      <c r="I20" s="23">
        <f t="shared" si="5"/>
        <v>1.5273868955861347</v>
      </c>
      <c r="J20" s="22">
        <f>SUM(J21:J22)</f>
        <v>7200</v>
      </c>
      <c r="K20" s="23">
        <f t="shared" si="6"/>
        <v>1.5</v>
      </c>
    </row>
    <row r="21" spans="2:11" ht="15" customHeight="1" x14ac:dyDescent="0.3">
      <c r="B21" s="16" t="s">
        <v>18</v>
      </c>
      <c r="C21" s="3" t="s">
        <v>19</v>
      </c>
      <c r="D21" s="6">
        <v>0</v>
      </c>
      <c r="E21" s="4">
        <f t="shared" si="0"/>
        <v>0</v>
      </c>
      <c r="F21" s="6">
        <f>SUMIFS('skutečné náklady 25'!$J:$J,'skutečné náklady 25'!$F:$F,"Kocourov",'skutečné náklady 25'!$E:$E,"vodné",'skutečné náklady 25'!$L:$L,$B21)</f>
        <v>0</v>
      </c>
      <c r="G21" s="4">
        <f t="shared" si="1"/>
        <v>0</v>
      </c>
      <c r="H21" s="6">
        <f t="shared" si="4"/>
        <v>0</v>
      </c>
      <c r="I21" s="4">
        <f t="shared" si="5"/>
        <v>0</v>
      </c>
      <c r="J21" s="6">
        <v>0</v>
      </c>
      <c r="K21" s="4">
        <f t="shared" si="6"/>
        <v>0</v>
      </c>
    </row>
    <row r="22" spans="2:11" ht="15" customHeight="1" x14ac:dyDescent="0.3">
      <c r="B22" s="16" t="s">
        <v>20</v>
      </c>
      <c r="C22" s="3" t="s">
        <v>21</v>
      </c>
      <c r="D22" s="6">
        <v>0</v>
      </c>
      <c r="E22" s="4">
        <f t="shared" si="0"/>
        <v>0</v>
      </c>
      <c r="F22" s="6">
        <f>SUMIFS('skutečné náklady 25'!$J:$J,'skutečné náklady 25'!$F:$F,"Kocourov",'skutečné náklady 25'!$E:$E,"vodné",'skutečné náklady 25'!$L:$L,$B22)</f>
        <v>5400</v>
      </c>
      <c r="G22" s="4">
        <f t="shared" si="1"/>
        <v>1.5273868955861347</v>
      </c>
      <c r="H22" s="6">
        <f t="shared" si="4"/>
        <v>7200</v>
      </c>
      <c r="I22" s="4">
        <f t="shared" si="5"/>
        <v>1.5273868955861347</v>
      </c>
      <c r="J22" s="6">
        <f>'Předpoklady Kocourov V'!H19</f>
        <v>7200</v>
      </c>
      <c r="K22" s="4">
        <f t="shared" si="6"/>
        <v>1.5</v>
      </c>
    </row>
    <row r="23" spans="2:11" ht="15" customHeight="1" x14ac:dyDescent="0.3">
      <c r="B23" s="20" t="s">
        <v>22</v>
      </c>
      <c r="C23" s="21" t="s">
        <v>23</v>
      </c>
      <c r="D23" s="22">
        <f>SUM(D24:D26,D27)</f>
        <v>43616</v>
      </c>
      <c r="E23" s="23">
        <f t="shared" si="0"/>
        <v>12.115555555555556</v>
      </c>
      <c r="F23" s="22">
        <f>SUM(F24:F26,F27)</f>
        <v>8214</v>
      </c>
      <c r="G23" s="23">
        <f t="shared" si="1"/>
        <v>2.3233251778415762</v>
      </c>
      <c r="H23" s="22">
        <f>SUM(H24:H26,H27)</f>
        <v>10952</v>
      </c>
      <c r="I23" s="23">
        <f t="shared" si="5"/>
        <v>2.3233251778415762</v>
      </c>
      <c r="J23" s="22">
        <f>SUM(J24:J26,J27)</f>
        <v>42944</v>
      </c>
      <c r="K23" s="23">
        <f t="shared" si="6"/>
        <v>8.9466666666666672</v>
      </c>
    </row>
    <row r="24" spans="2:11" ht="15" customHeight="1" x14ac:dyDescent="0.3">
      <c r="B24" s="16" t="s">
        <v>24</v>
      </c>
      <c r="C24" s="3" t="s">
        <v>25</v>
      </c>
      <c r="D24" s="6">
        <v>8616</v>
      </c>
      <c r="E24" s="4">
        <f t="shared" si="0"/>
        <v>2.3933333333333335</v>
      </c>
      <c r="F24" s="6">
        <f>SUMIFS('skutečné náklady 25'!$J:$J,'skutečné náklady 25'!$F:$F,"Kocourov",'skutečné náklady 25'!$E:$E,"vodné",'skutečné náklady 25'!$L:$L,$B24)</f>
        <v>5958</v>
      </c>
      <c r="G24" s="4">
        <f t="shared" si="1"/>
        <v>1.685216874796702</v>
      </c>
      <c r="H24" s="6">
        <f t="shared" si="4"/>
        <v>7944</v>
      </c>
      <c r="I24" s="4">
        <f t="shared" si="5"/>
        <v>1.685216874796702</v>
      </c>
      <c r="J24" s="6">
        <f>H24</f>
        <v>7944</v>
      </c>
      <c r="K24" s="4">
        <f t="shared" si="6"/>
        <v>1.655</v>
      </c>
    </row>
    <row r="25" spans="2:11" ht="15" customHeight="1" x14ac:dyDescent="0.3">
      <c r="B25" s="16" t="s">
        <v>26</v>
      </c>
      <c r="C25" s="3" t="s">
        <v>27</v>
      </c>
      <c r="D25" s="6">
        <v>0</v>
      </c>
      <c r="E25" s="4">
        <f t="shared" si="0"/>
        <v>0</v>
      </c>
      <c r="F25" s="6">
        <f>SUMIFS('skutečné náklady 25'!$J:$J,'skutečné náklady 25'!$F:$F,"Kocourov",'skutečné náklady 25'!$E:$E,"vodné",'skutečné náklady 25'!$L:$L,$B25)</f>
        <v>0</v>
      </c>
      <c r="G25" s="4">
        <f t="shared" si="1"/>
        <v>0</v>
      </c>
      <c r="H25" s="6">
        <f t="shared" si="4"/>
        <v>0</v>
      </c>
      <c r="I25" s="4">
        <f t="shared" si="5"/>
        <v>0</v>
      </c>
      <c r="J25" s="4">
        <v>0</v>
      </c>
      <c r="K25" s="4">
        <f t="shared" si="6"/>
        <v>0</v>
      </c>
    </row>
    <row r="26" spans="2:11" ht="15" customHeight="1" x14ac:dyDescent="0.3">
      <c r="B26" s="16" t="s">
        <v>28</v>
      </c>
      <c r="C26" s="3" t="s">
        <v>29</v>
      </c>
      <c r="D26" s="6">
        <v>35000</v>
      </c>
      <c r="E26" s="4">
        <f t="shared" si="0"/>
        <v>9.7222222222222214</v>
      </c>
      <c r="F26" s="6">
        <f>SUMIFS('skutečné náklady 25'!$J:$J,'skutečné náklady 25'!$F:$F,"Kocourov",'skutečné náklady 25'!$E:$E,"vodné",'skutečné náklady 25'!$L:$L,$B26)</f>
        <v>2256</v>
      </c>
      <c r="G26" s="4">
        <f t="shared" si="1"/>
        <v>0.63810830304487409</v>
      </c>
      <c r="H26" s="6">
        <f t="shared" si="4"/>
        <v>3008</v>
      </c>
      <c r="I26" s="4">
        <f t="shared" si="5"/>
        <v>0.63810830304487409</v>
      </c>
      <c r="J26" s="6">
        <f>'Předpoklady Kocourov V'!H23</f>
        <v>35000</v>
      </c>
      <c r="K26" s="4">
        <f t="shared" si="6"/>
        <v>7.291666666666667</v>
      </c>
    </row>
    <row r="27" spans="2:11" ht="15" customHeight="1" x14ac:dyDescent="0.3">
      <c r="B27" s="16" t="s">
        <v>30</v>
      </c>
      <c r="C27" s="3" t="s">
        <v>31</v>
      </c>
      <c r="D27" s="6">
        <v>0</v>
      </c>
      <c r="E27" s="4">
        <f t="shared" si="0"/>
        <v>0</v>
      </c>
      <c r="F27" s="6">
        <f>SUMIFS('skutečné náklady 25'!$J:$J,'skutečné náklady 25'!$F:$F,"Kocourov",'skutečné náklady 25'!$E:$E,"vodné",'skutečné náklady 25'!$L:$L,$B27)</f>
        <v>0</v>
      </c>
      <c r="G27" s="4">
        <f t="shared" si="1"/>
        <v>0</v>
      </c>
      <c r="H27" s="6">
        <f t="shared" si="4"/>
        <v>0</v>
      </c>
      <c r="I27" s="4">
        <f t="shared" si="5"/>
        <v>0</v>
      </c>
      <c r="J27" s="4">
        <v>0</v>
      </c>
      <c r="K27" s="4">
        <f t="shared" si="6"/>
        <v>0</v>
      </c>
    </row>
    <row r="28" spans="2:11" ht="15" customHeight="1" x14ac:dyDescent="0.3">
      <c r="B28" s="20" t="s">
        <v>32</v>
      </c>
      <c r="C28" s="21" t="s">
        <v>33</v>
      </c>
      <c r="D28" s="22">
        <v>25309.300000000003</v>
      </c>
      <c r="E28" s="23">
        <f t="shared" si="0"/>
        <v>7.0303611111111115</v>
      </c>
      <c r="F28" s="22">
        <f>SUM(F29:F29,F30)</f>
        <v>33555.300000000003</v>
      </c>
      <c r="G28" s="23">
        <f t="shared" si="1"/>
        <v>9.4910973143447102</v>
      </c>
      <c r="H28" s="22">
        <f>SUM(H29:H29,H30)</f>
        <v>44740.4</v>
      </c>
      <c r="I28" s="23">
        <f t="shared" si="5"/>
        <v>9.4910973143447084</v>
      </c>
      <c r="J28" s="22">
        <f>SUM(J29:J29,J30)</f>
        <v>46416.200000000004</v>
      </c>
      <c r="K28" s="23">
        <f t="shared" si="6"/>
        <v>9.670041666666668</v>
      </c>
    </row>
    <row r="29" spans="2:11" ht="15" customHeight="1" x14ac:dyDescent="0.3">
      <c r="B29" s="16" t="s">
        <v>34</v>
      </c>
      <c r="C29" s="3" t="s">
        <v>35</v>
      </c>
      <c r="D29" s="6">
        <v>25309.300000000003</v>
      </c>
      <c r="E29" s="4">
        <f t="shared" si="0"/>
        <v>7.0303611111111115</v>
      </c>
      <c r="F29" s="6">
        <f>SUMIFS('skutečné náklady 25'!$J:$J,'skutečné náklady 25'!$F:$F,"Kocourov",'skutečné náklady 25'!$E:$E,"vodné",'skutečné náklady 25'!$L:$L,$B29)</f>
        <v>33555.300000000003</v>
      </c>
      <c r="G29" s="4">
        <f t="shared" si="1"/>
        <v>9.4910973143447102</v>
      </c>
      <c r="H29" s="6">
        <f t="shared" si="4"/>
        <v>44740.4</v>
      </c>
      <c r="I29" s="4">
        <f t="shared" si="5"/>
        <v>9.4910973143447084</v>
      </c>
      <c r="J29" s="6">
        <f>'Předpoklady Kocourov V'!H32</f>
        <v>46416.200000000004</v>
      </c>
      <c r="K29" s="4">
        <f t="shared" si="6"/>
        <v>9.670041666666668</v>
      </c>
    </row>
    <row r="30" spans="2:11" ht="15" customHeight="1" x14ac:dyDescent="0.3">
      <c r="B30" s="16" t="s">
        <v>36</v>
      </c>
      <c r="C30" s="3" t="s">
        <v>37</v>
      </c>
      <c r="D30" s="6">
        <v>0</v>
      </c>
      <c r="E30" s="4">
        <f t="shared" si="0"/>
        <v>0</v>
      </c>
      <c r="F30" s="6">
        <f>SUMIFS('skutečné náklady 25'!$J:$J,'skutečné náklady 25'!$F:$F,"Kocourov",'skutečné náklady 25'!$E:$E,"vodné",'skutečné náklady 25'!$L:$L,$B30)</f>
        <v>0</v>
      </c>
      <c r="G30" s="4">
        <f t="shared" si="1"/>
        <v>0</v>
      </c>
      <c r="H30" s="6">
        <f t="shared" si="4"/>
        <v>0</v>
      </c>
      <c r="I30" s="4">
        <f t="shared" si="5"/>
        <v>0</v>
      </c>
      <c r="J30" s="6">
        <v>0</v>
      </c>
      <c r="K30" s="4">
        <f t="shared" si="6"/>
        <v>0</v>
      </c>
    </row>
    <row r="31" spans="2:11" ht="15" customHeight="1" x14ac:dyDescent="0.3">
      <c r="B31" s="20" t="s">
        <v>38</v>
      </c>
      <c r="C31" s="21" t="s">
        <v>39</v>
      </c>
      <c r="D31" s="22">
        <v>0</v>
      </c>
      <c r="E31" s="23">
        <f t="shared" si="0"/>
        <v>0</v>
      </c>
      <c r="F31" s="22">
        <f>SUMIFS('skutečné náklady 25'!$J:$J,'skutečné náklady 25'!$F:$F,"Kocourov",'skutečné náklady 25'!$E:$E,"vodné",'skutečné náklady 25'!$L:$L,$B31)</f>
        <v>0</v>
      </c>
      <c r="G31" s="23">
        <f t="shared" si="1"/>
        <v>0</v>
      </c>
      <c r="H31" s="22">
        <f t="shared" si="4"/>
        <v>0</v>
      </c>
      <c r="I31" s="23">
        <f t="shared" si="5"/>
        <v>0</v>
      </c>
      <c r="J31" s="23">
        <v>0</v>
      </c>
      <c r="K31" s="23">
        <f t="shared" si="6"/>
        <v>0</v>
      </c>
    </row>
    <row r="32" spans="2:11" ht="15" customHeight="1" x14ac:dyDescent="0.3">
      <c r="B32" s="20" t="s">
        <v>40</v>
      </c>
      <c r="C32" s="21" t="s">
        <v>41</v>
      </c>
      <c r="D32" s="22">
        <v>0</v>
      </c>
      <c r="E32" s="23">
        <f t="shared" si="0"/>
        <v>0</v>
      </c>
      <c r="F32" s="22">
        <f>SUMIFS('skutečné náklady 25'!$J:$J,'skutečné náklady 25'!$F:$F,"Kocourov",'skutečné náklady 25'!$E:$E,"vodné",'skutečné náklady 25'!$L:$L,$B32)</f>
        <v>0</v>
      </c>
      <c r="G32" s="23">
        <f t="shared" si="1"/>
        <v>0</v>
      </c>
      <c r="H32" s="22">
        <f t="shared" si="4"/>
        <v>0</v>
      </c>
      <c r="I32" s="23">
        <f t="shared" si="5"/>
        <v>0</v>
      </c>
      <c r="J32" s="23">
        <v>0</v>
      </c>
      <c r="K32" s="23">
        <f t="shared" si="6"/>
        <v>0</v>
      </c>
    </row>
    <row r="33" spans="2:11" ht="15" customHeight="1" x14ac:dyDescent="0.3">
      <c r="B33" s="20" t="s">
        <v>42</v>
      </c>
      <c r="C33" s="21" t="s">
        <v>43</v>
      </c>
      <c r="D33" s="22">
        <v>0</v>
      </c>
      <c r="E33" s="23">
        <f t="shared" si="0"/>
        <v>0</v>
      </c>
      <c r="F33" s="22">
        <f>SUMIFS('skutečné náklady 25'!$J:$J,'skutečné náklady 25'!$F:$F,"Kocourov",'skutečné náklady 25'!$E:$E,"vodné",'skutečné náklady 25'!$L:$L,$B33)</f>
        <v>0</v>
      </c>
      <c r="G33" s="23">
        <f t="shared" si="1"/>
        <v>0</v>
      </c>
      <c r="H33" s="22">
        <f t="shared" si="4"/>
        <v>0</v>
      </c>
      <c r="I33" s="23">
        <f t="shared" si="5"/>
        <v>0</v>
      </c>
      <c r="J33" s="22">
        <v>0</v>
      </c>
      <c r="K33" s="23">
        <f>IFERROR(J33/$J$7,"n/a")</f>
        <v>0</v>
      </c>
    </row>
    <row r="34" spans="2:11" ht="15" customHeight="1" x14ac:dyDescent="0.3">
      <c r="B34" s="20" t="s">
        <v>44</v>
      </c>
      <c r="C34" s="21" t="s">
        <v>45</v>
      </c>
      <c r="D34" s="22">
        <v>0</v>
      </c>
      <c r="E34" s="23">
        <f t="shared" si="0"/>
        <v>0</v>
      </c>
      <c r="F34" s="22">
        <f>SUMIFS('skutečné náklady 25'!$J:$J,'skutečné náklady 25'!$F:$F,"Kocourov",'skutečné náklady 25'!$E:$E,"vodné",'skutečné náklady 25'!$L:$L,$B34)</f>
        <v>0</v>
      </c>
      <c r="G34" s="23">
        <f t="shared" si="1"/>
        <v>0</v>
      </c>
      <c r="H34" s="22">
        <f t="shared" si="4"/>
        <v>0</v>
      </c>
      <c r="I34" s="23">
        <f t="shared" si="5"/>
        <v>0</v>
      </c>
      <c r="J34" s="22">
        <v>0</v>
      </c>
      <c r="K34" s="23">
        <f t="shared" si="6"/>
        <v>0</v>
      </c>
    </row>
    <row r="35" spans="2:11" ht="15" customHeight="1" outlineLevel="1" x14ac:dyDescent="0.3">
      <c r="B35" s="16" t="s">
        <v>46</v>
      </c>
      <c r="C35" s="3" t="s">
        <v>47</v>
      </c>
      <c r="D35" s="6">
        <v>0</v>
      </c>
      <c r="E35" s="4">
        <f t="shared" si="0"/>
        <v>0</v>
      </c>
      <c r="F35" s="6">
        <f>SUMIFS('skutečné náklady 25'!$J:$J,'skutečné náklady 25'!$F:$F,"Kocourov",'skutečné náklady 25'!$E:$E,"vodné",'skutečné náklady 25'!$L:$L,$B35)</f>
        <v>0</v>
      </c>
      <c r="G35" s="4">
        <f t="shared" si="1"/>
        <v>0</v>
      </c>
      <c r="H35" s="6">
        <f t="shared" si="4"/>
        <v>0</v>
      </c>
      <c r="I35" s="4">
        <f t="shared" si="5"/>
        <v>0</v>
      </c>
      <c r="J35" s="6">
        <v>0</v>
      </c>
      <c r="K35" s="4">
        <f t="shared" si="6"/>
        <v>0</v>
      </c>
    </row>
    <row r="36" spans="2:11" ht="15" customHeight="1" x14ac:dyDescent="0.3">
      <c r="B36" s="24" t="s">
        <v>48</v>
      </c>
      <c r="C36" s="25" t="s">
        <v>49</v>
      </c>
      <c r="D36" s="26">
        <f>SUM(D12,D17,D20,D23,D28,D31:D33,D34)</f>
        <v>69730.27</v>
      </c>
      <c r="E36" s="27">
        <f t="shared" si="0"/>
        <v>19.369519444444446</v>
      </c>
      <c r="F36" s="26">
        <f>SUM(F12,F17,F20,F23,F28,F31:F33,F34)</f>
        <v>47581.8</v>
      </c>
      <c r="G36" s="27">
        <f t="shared" si="1"/>
        <v>13.458484775629696</v>
      </c>
      <c r="H36" s="26">
        <f>SUM(H12,H17,H20,H23,H28,H31:H33,H34)</f>
        <v>63442.400000000001</v>
      </c>
      <c r="I36" s="27">
        <f t="shared" si="5"/>
        <v>13.458484775629694</v>
      </c>
      <c r="J36" s="26">
        <f>SUM(J12,J17,J20,J23,J28,J31:J33,J34)</f>
        <v>97615.200000000012</v>
      </c>
      <c r="K36" s="27">
        <f t="shared" si="6"/>
        <v>20.336500000000001</v>
      </c>
    </row>
    <row r="37" spans="2:11" ht="15" customHeight="1" x14ac:dyDescent="0.3">
      <c r="D37" s="6"/>
      <c r="E37"/>
      <c r="F37" s="6"/>
      <c r="G37"/>
      <c r="H37" s="6"/>
    </row>
    <row r="38" spans="2:11" ht="15" customHeight="1" x14ac:dyDescent="0.3">
      <c r="B38" s="28" t="s">
        <v>50</v>
      </c>
      <c r="C38" s="29" t="s">
        <v>51</v>
      </c>
      <c r="D38" s="30">
        <v>57600</v>
      </c>
      <c r="E38" s="31">
        <f t="shared" si="0"/>
        <v>16</v>
      </c>
      <c r="F38" s="30">
        <f>SUM(F39:F41,F43:F44,F46:F47,F49:F50)</f>
        <v>56567.82</v>
      </c>
      <c r="G38" s="31">
        <f t="shared" si="1"/>
        <v>16.000175366643568</v>
      </c>
      <c r="H38" s="30">
        <f>SUM(H39:H41,H43:H44,H46:H47,H49:H50)</f>
        <v>0</v>
      </c>
      <c r="I38" s="31">
        <f t="shared" ref="I38:I50" si="7">IFERROR(H38/$H$7,"n/a")</f>
        <v>0</v>
      </c>
      <c r="J38" s="30">
        <f>SUM(J39:J41,J43:J44,J46:J47,J49:J50)</f>
        <v>76800</v>
      </c>
      <c r="K38" s="31">
        <f t="shared" ref="K38:K50" si="8">IFERROR(J38/$J$7,"n/a")</f>
        <v>16</v>
      </c>
    </row>
    <row r="39" spans="2:11" ht="15" customHeight="1" x14ac:dyDescent="0.3">
      <c r="B39" s="16" t="s">
        <v>52</v>
      </c>
      <c r="C39" s="3" t="s">
        <v>53</v>
      </c>
      <c r="D39" s="6">
        <v>57600</v>
      </c>
      <c r="E39" s="4">
        <f t="shared" si="0"/>
        <v>16</v>
      </c>
      <c r="F39" s="6">
        <v>56567.82</v>
      </c>
      <c r="G39" s="4">
        <f t="shared" si="1"/>
        <v>16.000175366643568</v>
      </c>
      <c r="H39" s="6">
        <v>0</v>
      </c>
      <c r="I39" s="4">
        <f t="shared" si="7"/>
        <v>0</v>
      </c>
      <c r="J39" s="6">
        <f>K39*J7</f>
        <v>76800</v>
      </c>
      <c r="K39" s="4">
        <v>16</v>
      </c>
    </row>
    <row r="40" spans="2:11" ht="15" customHeight="1" x14ac:dyDescent="0.3">
      <c r="B40" s="16" t="s">
        <v>54</v>
      </c>
      <c r="C40" s="3" t="s">
        <v>55</v>
      </c>
      <c r="D40" s="6">
        <v>0</v>
      </c>
      <c r="E40" s="4">
        <f t="shared" si="0"/>
        <v>0</v>
      </c>
      <c r="F40" s="6"/>
      <c r="G40" s="4">
        <f t="shared" si="1"/>
        <v>0</v>
      </c>
      <c r="H40" s="6">
        <v>0</v>
      </c>
      <c r="I40" s="4">
        <f t="shared" si="7"/>
        <v>0</v>
      </c>
      <c r="J40" s="6">
        <v>0</v>
      </c>
      <c r="K40" s="4">
        <v>0</v>
      </c>
    </row>
    <row r="41" spans="2:11" ht="15" customHeight="1" x14ac:dyDescent="0.3">
      <c r="B41" s="16" t="s">
        <v>56</v>
      </c>
      <c r="C41" s="3" t="s">
        <v>57</v>
      </c>
      <c r="D41" s="6">
        <v>0</v>
      </c>
      <c r="E41" s="4">
        <f t="shared" si="0"/>
        <v>0</v>
      </c>
      <c r="F41" s="6"/>
      <c r="G41" s="4">
        <f t="shared" si="1"/>
        <v>0</v>
      </c>
      <c r="H41" s="6">
        <v>0</v>
      </c>
      <c r="I41" s="4">
        <f t="shared" si="7"/>
        <v>0</v>
      </c>
      <c r="J41" s="4">
        <v>0</v>
      </c>
      <c r="K41" s="4">
        <f t="shared" si="8"/>
        <v>0</v>
      </c>
    </row>
    <row r="42" spans="2:11" ht="7.5" customHeight="1" x14ac:dyDescent="0.3">
      <c r="B42" s="16"/>
      <c r="D42" s="6"/>
      <c r="E42" s="4">
        <f t="shared" si="0"/>
        <v>0</v>
      </c>
      <c r="F42" s="6"/>
      <c r="G42" s="4">
        <f t="shared" si="1"/>
        <v>0</v>
      </c>
      <c r="H42" s="6"/>
      <c r="I42" s="4">
        <f t="shared" si="7"/>
        <v>0</v>
      </c>
      <c r="J42" s="4"/>
      <c r="K42" s="4">
        <f t="shared" si="8"/>
        <v>0</v>
      </c>
    </row>
    <row r="43" spans="2:11" ht="15" customHeight="1" x14ac:dyDescent="0.3">
      <c r="B43" s="16" t="s">
        <v>58</v>
      </c>
      <c r="C43" s="3" t="s">
        <v>59</v>
      </c>
      <c r="D43" s="6">
        <v>0</v>
      </c>
      <c r="E43" s="4">
        <f t="shared" si="0"/>
        <v>0</v>
      </c>
      <c r="F43" s="6"/>
      <c r="G43" s="4">
        <f t="shared" si="1"/>
        <v>0</v>
      </c>
      <c r="H43" s="6">
        <v>0</v>
      </c>
      <c r="I43" s="4">
        <f t="shared" si="7"/>
        <v>0</v>
      </c>
      <c r="J43" s="4">
        <v>0</v>
      </c>
      <c r="K43" s="4">
        <f t="shared" si="8"/>
        <v>0</v>
      </c>
    </row>
    <row r="44" spans="2:11" ht="15" customHeight="1" x14ac:dyDescent="0.3">
      <c r="B44" s="16" t="s">
        <v>60</v>
      </c>
      <c r="C44" s="3" t="s">
        <v>61</v>
      </c>
      <c r="D44" s="6">
        <v>0</v>
      </c>
      <c r="E44" s="4">
        <f t="shared" si="0"/>
        <v>0</v>
      </c>
      <c r="F44" s="6"/>
      <c r="G44" s="4">
        <f t="shared" si="1"/>
        <v>0</v>
      </c>
      <c r="H44" s="6">
        <v>0</v>
      </c>
      <c r="I44" s="4">
        <f t="shared" si="7"/>
        <v>0</v>
      </c>
      <c r="J44" s="4">
        <v>0</v>
      </c>
      <c r="K44" s="4">
        <f t="shared" si="8"/>
        <v>0</v>
      </c>
    </row>
    <row r="45" spans="2:11" ht="7.5" customHeight="1" x14ac:dyDescent="0.3">
      <c r="B45" s="16"/>
      <c r="D45" s="6"/>
      <c r="E45" s="4">
        <f t="shared" si="0"/>
        <v>0</v>
      </c>
      <c r="F45" s="6"/>
      <c r="G45" s="4">
        <f t="shared" si="1"/>
        <v>0</v>
      </c>
      <c r="H45" s="6"/>
      <c r="I45" s="4">
        <f t="shared" si="7"/>
        <v>0</v>
      </c>
      <c r="J45" s="4"/>
      <c r="K45" s="4">
        <f t="shared" si="8"/>
        <v>0</v>
      </c>
    </row>
    <row r="46" spans="2:11" ht="15" customHeight="1" x14ac:dyDescent="0.3">
      <c r="B46" s="16" t="s">
        <v>62</v>
      </c>
      <c r="C46" s="3" t="s">
        <v>63</v>
      </c>
      <c r="D46" s="6">
        <v>0</v>
      </c>
      <c r="E46" s="4">
        <f t="shared" si="0"/>
        <v>0</v>
      </c>
      <c r="F46" s="6"/>
      <c r="G46" s="4">
        <f t="shared" si="1"/>
        <v>0</v>
      </c>
      <c r="H46" s="6">
        <v>0</v>
      </c>
      <c r="I46" s="4">
        <f t="shared" si="7"/>
        <v>0</v>
      </c>
      <c r="J46" s="4">
        <v>0</v>
      </c>
      <c r="K46" s="4">
        <f t="shared" si="8"/>
        <v>0</v>
      </c>
    </row>
    <row r="47" spans="2:11" ht="15" customHeight="1" x14ac:dyDescent="0.3">
      <c r="B47" s="16" t="s">
        <v>64</v>
      </c>
      <c r="C47" s="3" t="s">
        <v>65</v>
      </c>
      <c r="D47" s="6">
        <v>0</v>
      </c>
      <c r="E47" s="4">
        <f t="shared" si="0"/>
        <v>0</v>
      </c>
      <c r="F47" s="6"/>
      <c r="G47" s="4">
        <f t="shared" si="1"/>
        <v>0</v>
      </c>
      <c r="H47" s="6">
        <v>0</v>
      </c>
      <c r="I47" s="4">
        <f t="shared" si="7"/>
        <v>0</v>
      </c>
      <c r="J47" s="4">
        <v>0</v>
      </c>
      <c r="K47" s="4">
        <f t="shared" si="8"/>
        <v>0</v>
      </c>
    </row>
    <row r="48" spans="2:11" ht="7.5" customHeight="1" x14ac:dyDescent="0.3">
      <c r="B48" s="16"/>
      <c r="D48" s="6"/>
      <c r="E48" s="4">
        <f t="shared" si="0"/>
        <v>0</v>
      </c>
      <c r="F48" s="6"/>
      <c r="G48" s="4">
        <f t="shared" si="1"/>
        <v>0</v>
      </c>
      <c r="H48" s="6"/>
      <c r="I48" s="4">
        <f t="shared" si="7"/>
        <v>0</v>
      </c>
      <c r="J48" s="4"/>
      <c r="K48" s="4">
        <f t="shared" si="8"/>
        <v>0</v>
      </c>
    </row>
    <row r="49" spans="2:11" ht="15" customHeight="1" x14ac:dyDescent="0.3">
      <c r="B49" s="16" t="s">
        <v>66</v>
      </c>
      <c r="C49" s="3" t="s">
        <v>67</v>
      </c>
      <c r="D49" s="6">
        <v>0</v>
      </c>
      <c r="E49" s="4">
        <f t="shared" si="0"/>
        <v>0</v>
      </c>
      <c r="F49" s="6"/>
      <c r="G49" s="4">
        <f t="shared" si="1"/>
        <v>0</v>
      </c>
      <c r="H49" s="6">
        <v>0</v>
      </c>
      <c r="I49" s="4">
        <f t="shared" si="7"/>
        <v>0</v>
      </c>
      <c r="J49" s="4">
        <v>0</v>
      </c>
      <c r="K49" s="4">
        <f t="shared" si="8"/>
        <v>0</v>
      </c>
    </row>
    <row r="50" spans="2:11" ht="15" customHeight="1" x14ac:dyDescent="0.3">
      <c r="B50" s="32" t="s">
        <v>68</v>
      </c>
      <c r="C50" s="33" t="s">
        <v>69</v>
      </c>
      <c r="D50" s="34">
        <v>0</v>
      </c>
      <c r="E50" s="35">
        <f t="shared" si="0"/>
        <v>0</v>
      </c>
      <c r="F50" s="34"/>
      <c r="G50" s="35">
        <f t="shared" si="1"/>
        <v>0</v>
      </c>
      <c r="H50" s="34">
        <v>0</v>
      </c>
      <c r="I50" s="35">
        <f t="shared" si="7"/>
        <v>0</v>
      </c>
      <c r="J50" s="35">
        <v>0</v>
      </c>
      <c r="K50" s="35">
        <f t="shared" si="8"/>
        <v>0</v>
      </c>
    </row>
    <row r="51" spans="2:11" ht="15" customHeight="1" x14ac:dyDescent="0.3">
      <c r="D51" s="6"/>
      <c r="E51"/>
      <c r="F51" s="6"/>
      <c r="G51"/>
      <c r="H51" s="6"/>
    </row>
    <row r="52" spans="2:11" ht="15" customHeight="1" x14ac:dyDescent="0.3">
      <c r="B52" s="36" t="str">
        <f>"="</f>
        <v>=</v>
      </c>
      <c r="C52" s="37" t="s">
        <v>70</v>
      </c>
      <c r="D52" s="38">
        <v>-12130.270000000004</v>
      </c>
      <c r="E52" s="39">
        <v>-3.3695194444444456</v>
      </c>
      <c r="F52" s="38">
        <f>F38-F36</f>
        <v>8986.0199999999968</v>
      </c>
      <c r="G52" s="39">
        <f t="shared" si="1"/>
        <v>2.541690591013873</v>
      </c>
      <c r="H52" s="38">
        <f>H38-H36</f>
        <v>-63442.400000000001</v>
      </c>
      <c r="I52" s="39" t="str">
        <f>IFERROR(H52/#REF!,"n/a")</f>
        <v>n/a</v>
      </c>
      <c r="J52" s="38">
        <f>J38-J36</f>
        <v>-20815.200000000012</v>
      </c>
      <c r="K52" s="39">
        <f>IFERROR(J52/$J$7,"n/a")</f>
        <v>-4.3365000000000027</v>
      </c>
    </row>
    <row r="53" spans="2:11" ht="15" customHeight="1" x14ac:dyDescent="0.3">
      <c r="D53"/>
      <c r="E53"/>
    </row>
    <row r="54" spans="2:11" ht="15" customHeight="1" x14ac:dyDescent="0.3">
      <c r="D54"/>
      <c r="E54"/>
    </row>
    <row r="55" spans="2:11" ht="15" customHeight="1" x14ac:dyDescent="0.3">
      <c r="D55"/>
      <c r="E55"/>
    </row>
    <row r="56" spans="2:11" ht="15" customHeight="1" x14ac:dyDescent="0.3">
      <c r="D56"/>
      <c r="E56"/>
    </row>
    <row r="57" spans="2:11" ht="15" customHeight="1" x14ac:dyDescent="0.3">
      <c r="D57"/>
      <c r="E57"/>
    </row>
    <row r="58" spans="2:11" ht="15" customHeight="1" x14ac:dyDescent="0.3">
      <c r="D58"/>
      <c r="E58"/>
    </row>
    <row r="59" spans="2:11" ht="15" customHeight="1" x14ac:dyDescent="0.3">
      <c r="D59"/>
      <c r="E59"/>
    </row>
    <row r="60" spans="2:11" ht="15" customHeight="1" x14ac:dyDescent="0.3">
      <c r="D60"/>
      <c r="E60"/>
    </row>
    <row r="61" spans="2:11" ht="15" customHeight="1" x14ac:dyDescent="0.3">
      <c r="D61"/>
      <c r="E61"/>
    </row>
    <row r="62" spans="2:11" ht="15" customHeight="1" x14ac:dyDescent="0.3">
      <c r="D62"/>
      <c r="E62"/>
    </row>
    <row r="63" spans="2:11" ht="15" customHeight="1" x14ac:dyDescent="0.3">
      <c r="D63"/>
      <c r="E63"/>
    </row>
    <row r="64" spans="2:11" ht="15" customHeight="1" x14ac:dyDescent="0.3">
      <c r="D64"/>
      <c r="E64"/>
    </row>
    <row r="65" spans="4:5" ht="15" customHeight="1" x14ac:dyDescent="0.3">
      <c r="D65"/>
      <c r="E65"/>
    </row>
    <row r="66" spans="4:5" ht="15" customHeight="1" x14ac:dyDescent="0.3">
      <c r="D66"/>
      <c r="E66"/>
    </row>
    <row r="67" spans="4:5" ht="15" customHeight="1" x14ac:dyDescent="0.3">
      <c r="D67"/>
      <c r="E67"/>
    </row>
    <row r="68" spans="4:5" ht="15" customHeight="1" x14ac:dyDescent="0.3">
      <c r="D68"/>
      <c r="E68"/>
    </row>
  </sheetData>
  <mergeCells count="4">
    <mergeCell ref="H10:I10"/>
    <mergeCell ref="J10:K10"/>
    <mergeCell ref="D10:E10"/>
    <mergeCell ref="F10:G10"/>
  </mergeCell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5654-BAEC-4472-9EF7-E034E7E9480F}">
  <dimension ref="A1:H33"/>
  <sheetViews>
    <sheetView showGridLines="0" zoomScale="140" zoomScaleNormal="140" zoomScaleSheetLayoutView="140" workbookViewId="0">
      <selection activeCell="G28" sqref="G28"/>
    </sheetView>
  </sheetViews>
  <sheetFormatPr defaultRowHeight="14.4" x14ac:dyDescent="0.3"/>
  <cols>
    <col min="2" max="2" width="46.6640625" bestFit="1" customWidth="1"/>
    <col min="3" max="3" width="8.6640625" style="7" customWidth="1"/>
    <col min="4" max="4" width="8.6640625" customWidth="1"/>
    <col min="5" max="5" width="8.6640625" style="7" customWidth="1"/>
    <col min="6" max="6" width="8.6640625" customWidth="1"/>
    <col min="7" max="8" width="10.44140625" customWidth="1"/>
  </cols>
  <sheetData>
    <row r="1" spans="1:8" ht="17.100000000000001" customHeight="1" x14ac:dyDescent="0.4">
      <c r="A1" s="3"/>
      <c r="B1" s="40" t="s">
        <v>129</v>
      </c>
    </row>
    <row r="2" spans="1:8" ht="15" customHeight="1" x14ac:dyDescent="0.3">
      <c r="A2" s="3"/>
    </row>
    <row r="3" spans="1:8" ht="15" customHeight="1" x14ac:dyDescent="0.3">
      <c r="A3" s="3"/>
      <c r="B3" s="51" t="s">
        <v>116</v>
      </c>
      <c r="C3" s="52"/>
      <c r="D3" s="51"/>
      <c r="E3" s="52"/>
    </row>
    <row r="4" spans="1:8" ht="15" customHeight="1" x14ac:dyDescent="0.3">
      <c r="A4" s="3"/>
      <c r="B4" s="1"/>
      <c r="C4" s="53" t="s">
        <v>117</v>
      </c>
      <c r="D4" s="1"/>
      <c r="E4" s="53" t="s">
        <v>118</v>
      </c>
      <c r="F4" s="2" t="s">
        <v>71</v>
      </c>
      <c r="G4" s="2" t="s">
        <v>72</v>
      </c>
      <c r="H4" s="2" t="s">
        <v>2</v>
      </c>
    </row>
    <row r="5" spans="1:8" ht="15" customHeight="1" x14ac:dyDescent="0.3">
      <c r="A5" s="3"/>
      <c r="B5" s="3" t="s">
        <v>181</v>
      </c>
      <c r="C5" s="5"/>
      <c r="D5" s="3"/>
      <c r="E5" s="5" t="s">
        <v>119</v>
      </c>
      <c r="F5" s="6">
        <v>0</v>
      </c>
      <c r="G5" s="4">
        <v>2</v>
      </c>
      <c r="H5" s="4">
        <f>F5*G5</f>
        <v>0</v>
      </c>
    </row>
    <row r="6" spans="1:8" ht="15" customHeight="1" x14ac:dyDescent="0.3">
      <c r="A6" s="3"/>
      <c r="B6" s="3" t="s">
        <v>182</v>
      </c>
      <c r="C6" s="5"/>
      <c r="D6" s="3"/>
      <c r="E6" s="5"/>
      <c r="F6" s="6"/>
      <c r="G6" s="4"/>
      <c r="H6" s="4"/>
    </row>
    <row r="7" spans="1:8" ht="15" customHeight="1" x14ac:dyDescent="0.3">
      <c r="A7" s="3"/>
      <c r="B7" s="3"/>
      <c r="C7" s="5"/>
      <c r="D7" s="3"/>
      <c r="E7" s="5"/>
      <c r="F7" s="8"/>
      <c r="G7" s="8"/>
      <c r="H7" s="8"/>
    </row>
    <row r="8" spans="1:8" ht="15" customHeight="1" x14ac:dyDescent="0.3">
      <c r="A8" s="3"/>
      <c r="B8" s="9" t="s">
        <v>137</v>
      </c>
      <c r="C8" s="54"/>
      <c r="D8" s="9"/>
      <c r="E8" s="5"/>
      <c r="F8" s="8"/>
      <c r="G8" s="8"/>
      <c r="H8" s="8"/>
    </row>
    <row r="9" spans="1:8" ht="15" customHeight="1" x14ac:dyDescent="0.3">
      <c r="A9" s="3"/>
      <c r="B9" s="1"/>
      <c r="C9" s="53"/>
      <c r="D9" s="1"/>
      <c r="E9" s="53" t="s">
        <v>120</v>
      </c>
      <c r="F9" s="2" t="s">
        <v>71</v>
      </c>
      <c r="G9" s="2" t="s">
        <v>72</v>
      </c>
      <c r="H9" s="2" t="s">
        <v>2</v>
      </c>
    </row>
    <row r="10" spans="1:8" ht="15" customHeight="1" x14ac:dyDescent="0.3">
      <c r="A10" s="3"/>
      <c r="B10" s="3" t="s">
        <v>82</v>
      </c>
      <c r="C10" s="5"/>
      <c r="D10" s="3"/>
      <c r="E10" s="5" t="s">
        <v>121</v>
      </c>
      <c r="F10" s="4">
        <v>1</v>
      </c>
      <c r="G10" s="4">
        <f>412.5*4/3</f>
        <v>550</v>
      </c>
      <c r="H10" s="4">
        <f>G10*F10</f>
        <v>550</v>
      </c>
    </row>
    <row r="11" spans="1:8" ht="15" customHeight="1" x14ac:dyDescent="0.3">
      <c r="A11" s="3"/>
      <c r="B11" s="3"/>
      <c r="C11" s="5"/>
      <c r="D11" s="3"/>
      <c r="E11" s="5"/>
      <c r="F11" s="8"/>
      <c r="G11" s="8"/>
      <c r="H11" s="8"/>
    </row>
    <row r="12" spans="1:8" ht="15" customHeight="1" x14ac:dyDescent="0.3">
      <c r="A12" s="3"/>
      <c r="B12" s="51" t="s">
        <v>139</v>
      </c>
      <c r="C12" s="52"/>
      <c r="D12" s="51"/>
      <c r="E12" s="52"/>
    </row>
    <row r="13" spans="1:8" ht="15" customHeight="1" x14ac:dyDescent="0.3">
      <c r="A13" s="3"/>
      <c r="B13" s="1"/>
      <c r="C13" s="53" t="s">
        <v>117</v>
      </c>
      <c r="D13" s="1"/>
      <c r="E13" s="53" t="s">
        <v>118</v>
      </c>
      <c r="F13" s="2" t="s">
        <v>71</v>
      </c>
      <c r="G13" s="2" t="s">
        <v>72</v>
      </c>
      <c r="H13" s="2" t="s">
        <v>2</v>
      </c>
    </row>
    <row r="14" spans="1:8" ht="15" customHeight="1" x14ac:dyDescent="0.3">
      <c r="A14" s="3"/>
      <c r="B14" s="3" t="s">
        <v>138</v>
      </c>
      <c r="C14" s="5"/>
      <c r="D14" s="3"/>
      <c r="E14" s="5" t="s">
        <v>119</v>
      </c>
      <c r="F14" s="189">
        <v>1</v>
      </c>
      <c r="G14" s="4">
        <v>505</v>
      </c>
      <c r="H14" s="4">
        <f>F14*G14</f>
        <v>505</v>
      </c>
    </row>
    <row r="15" spans="1:8" ht="15" customHeight="1" x14ac:dyDescent="0.3">
      <c r="A15" s="3"/>
      <c r="B15" s="3"/>
      <c r="C15" s="5"/>
      <c r="D15" s="3"/>
      <c r="E15" s="5"/>
      <c r="F15" s="8"/>
      <c r="G15" s="8"/>
      <c r="H15" s="8"/>
    </row>
    <row r="16" spans="1:8" ht="15" customHeight="1" x14ac:dyDescent="0.3">
      <c r="A16" s="3"/>
      <c r="B16" s="9" t="s">
        <v>279</v>
      </c>
      <c r="F16" s="8"/>
      <c r="G16" s="4"/>
      <c r="H16" s="4"/>
    </row>
    <row r="17" spans="1:8" ht="15" customHeight="1" x14ac:dyDescent="0.3">
      <c r="A17" s="3"/>
      <c r="B17" s="1"/>
      <c r="C17" s="50"/>
      <c r="D17" s="2"/>
      <c r="E17" s="53" t="s">
        <v>120</v>
      </c>
      <c r="F17" s="2" t="s">
        <v>71</v>
      </c>
      <c r="G17" s="2" t="s">
        <v>72</v>
      </c>
      <c r="H17" s="2" t="s">
        <v>2</v>
      </c>
    </row>
    <row r="18" spans="1:8" ht="15" customHeight="1" x14ac:dyDescent="0.3">
      <c r="A18" s="3"/>
      <c r="B18" s="3" t="s">
        <v>280</v>
      </c>
      <c r="C18" s="58" t="s">
        <v>28</v>
      </c>
      <c r="D18" s="59"/>
      <c r="E18" s="58" t="s">
        <v>2</v>
      </c>
      <c r="F18" s="41">
        <v>12</v>
      </c>
      <c r="G18" s="41">
        <v>600</v>
      </c>
      <c r="H18" s="4">
        <f>F18*G18</f>
        <v>7200</v>
      </c>
    </row>
    <row r="19" spans="1:8" ht="15" customHeight="1" x14ac:dyDescent="0.3">
      <c r="A19" s="3"/>
      <c r="B19" s="60" t="s">
        <v>73</v>
      </c>
      <c r="C19" s="61"/>
      <c r="D19" s="62"/>
      <c r="E19" s="63"/>
      <c r="F19" s="64"/>
      <c r="G19" s="65"/>
      <c r="H19" s="65">
        <f>SUM(H18:H18)</f>
        <v>7200</v>
      </c>
    </row>
    <row r="20" spans="1:8" ht="15" customHeight="1" x14ac:dyDescent="0.3">
      <c r="A20" s="3"/>
      <c r="B20" s="3"/>
      <c r="C20" s="5"/>
      <c r="D20" s="3"/>
      <c r="E20" s="5"/>
      <c r="F20" s="8"/>
      <c r="G20" s="8"/>
      <c r="H20" s="8"/>
    </row>
    <row r="21" spans="1:8" ht="15" customHeight="1" x14ac:dyDescent="0.3">
      <c r="A21" s="3"/>
      <c r="B21" s="9" t="s">
        <v>125</v>
      </c>
      <c r="F21" s="8"/>
      <c r="G21" s="4"/>
      <c r="H21" s="4"/>
    </row>
    <row r="22" spans="1:8" ht="15" customHeight="1" x14ac:dyDescent="0.3">
      <c r="A22" s="3"/>
      <c r="B22" s="1"/>
      <c r="C22" s="50"/>
      <c r="D22" s="2"/>
      <c r="E22" s="53" t="s">
        <v>120</v>
      </c>
      <c r="F22" s="2" t="s">
        <v>71</v>
      </c>
      <c r="G22" s="2" t="s">
        <v>72</v>
      </c>
      <c r="H22" s="2" t="s">
        <v>2</v>
      </c>
    </row>
    <row r="23" spans="1:8" ht="15" customHeight="1" x14ac:dyDescent="0.3">
      <c r="A23" s="3"/>
      <c r="B23" s="3" t="s">
        <v>140</v>
      </c>
      <c r="C23" s="58" t="s">
        <v>28</v>
      </c>
      <c r="D23" s="59"/>
      <c r="E23" s="58" t="s">
        <v>2</v>
      </c>
      <c r="F23" s="41">
        <f>1/10</f>
        <v>0.1</v>
      </c>
      <c r="G23" s="41">
        <v>350000</v>
      </c>
      <c r="H23" s="190">
        <f>G23*F23</f>
        <v>35000</v>
      </c>
    </row>
    <row r="24" spans="1:8" ht="15" customHeight="1" x14ac:dyDescent="0.3">
      <c r="A24" s="3"/>
      <c r="B24" s="3" t="s">
        <v>183</v>
      </c>
      <c r="C24" s="58"/>
      <c r="D24" s="59"/>
      <c r="E24" s="58"/>
      <c r="F24" s="41"/>
      <c r="G24" s="41"/>
      <c r="H24" s="41"/>
    </row>
    <row r="25" spans="1:8" ht="15" customHeight="1" x14ac:dyDescent="0.3">
      <c r="A25" s="3"/>
      <c r="B25" s="3"/>
      <c r="C25" s="5"/>
      <c r="D25" s="3"/>
      <c r="E25" s="5"/>
      <c r="F25" s="8"/>
      <c r="G25" s="4"/>
      <c r="H25" s="4"/>
    </row>
    <row r="26" spans="1:8" ht="17.100000000000001" customHeight="1" x14ac:dyDescent="0.3">
      <c r="A26" s="3"/>
      <c r="B26" s="9" t="s">
        <v>80</v>
      </c>
      <c r="C26" s="5"/>
      <c r="D26" s="3"/>
      <c r="E26" s="5"/>
      <c r="F26" s="8"/>
      <c r="G26" s="4"/>
      <c r="H26" s="4"/>
    </row>
    <row r="27" spans="1:8" ht="15" customHeight="1" x14ac:dyDescent="0.3">
      <c r="A27" s="3"/>
      <c r="B27" s="1"/>
      <c r="C27" s="2"/>
      <c r="D27" s="2"/>
      <c r="E27" s="2"/>
      <c r="F27" s="2" t="s">
        <v>71</v>
      </c>
      <c r="G27" s="2" t="s">
        <v>72</v>
      </c>
      <c r="H27" s="2" t="s">
        <v>2</v>
      </c>
    </row>
    <row r="28" spans="1:8" ht="15" customHeight="1" x14ac:dyDescent="0.3">
      <c r="A28" s="3"/>
      <c r="B28" s="3" t="s">
        <v>126</v>
      </c>
      <c r="C28" s="5"/>
      <c r="D28" s="3"/>
      <c r="E28" s="5" t="s">
        <v>74</v>
      </c>
      <c r="F28" s="41">
        <v>1.05</v>
      </c>
      <c r="G28" s="55">
        <f>23903*4/3</f>
        <v>31870.666666666668</v>
      </c>
      <c r="H28" s="46">
        <f t="shared" ref="H28:H31" si="0">G28*F28</f>
        <v>33464.200000000004</v>
      </c>
    </row>
    <row r="29" spans="1:8" ht="15" customHeight="1" x14ac:dyDescent="0.3">
      <c r="A29" s="3"/>
      <c r="B29" s="3" t="s">
        <v>0</v>
      </c>
      <c r="C29" s="5"/>
      <c r="D29" s="3"/>
      <c r="E29" s="5"/>
      <c r="F29" s="41">
        <v>1</v>
      </c>
      <c r="G29" s="55">
        <v>6752</v>
      </c>
      <c r="H29" s="46">
        <f t="shared" si="0"/>
        <v>6752</v>
      </c>
    </row>
    <row r="30" spans="1:8" ht="15" customHeight="1" x14ac:dyDescent="0.3">
      <c r="A30" s="3"/>
      <c r="B30" s="3" t="s">
        <v>79</v>
      </c>
      <c r="C30" s="5"/>
      <c r="D30" s="3"/>
      <c r="E30" s="5"/>
      <c r="F30" s="41">
        <v>2</v>
      </c>
      <c r="G30" s="55">
        <v>2900</v>
      </c>
      <c r="H30" s="46">
        <f t="shared" si="0"/>
        <v>5800</v>
      </c>
    </row>
    <row r="31" spans="1:8" ht="15" customHeight="1" x14ac:dyDescent="0.3">
      <c r="A31" s="3"/>
      <c r="B31" s="3" t="s">
        <v>110</v>
      </c>
      <c r="C31" s="5"/>
      <c r="D31" s="3"/>
      <c r="E31" s="5"/>
      <c r="F31" s="41">
        <v>1</v>
      </c>
      <c r="G31" s="55">
        <v>400</v>
      </c>
      <c r="H31" s="46">
        <f t="shared" si="0"/>
        <v>400</v>
      </c>
    </row>
    <row r="32" spans="1:8" ht="15" customHeight="1" x14ac:dyDescent="0.3">
      <c r="A32" s="3"/>
      <c r="B32" s="42" t="s">
        <v>73</v>
      </c>
      <c r="C32" s="43"/>
      <c r="D32" s="42"/>
      <c r="E32" s="43"/>
      <c r="F32" s="44"/>
      <c r="G32" s="45"/>
      <c r="H32" s="47">
        <f>SUM(H28:H31)</f>
        <v>46416.200000000004</v>
      </c>
    </row>
    <row r="33" spans="1:8" ht="15" customHeight="1" x14ac:dyDescent="0.3">
      <c r="A33" s="3"/>
      <c r="B33" s="3"/>
      <c r="C33" s="5"/>
      <c r="D33" s="3"/>
      <c r="E33" s="5"/>
      <c r="F33" s="8"/>
      <c r="G33" s="4"/>
      <c r="H33" s="4"/>
    </row>
  </sheetData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E995-9373-4D22-B891-27B931B663A9}">
  <dimension ref="B2:K66"/>
  <sheetViews>
    <sheetView showGridLines="0" view="pageBreakPreview" zoomScale="130" zoomScaleNormal="100" zoomScaleSheetLayoutView="130" workbookViewId="0">
      <selection activeCell="F12" sqref="F12"/>
    </sheetView>
  </sheetViews>
  <sheetFormatPr defaultRowHeight="15" customHeight="1" outlineLevelRow="1" x14ac:dyDescent="0.3"/>
  <cols>
    <col min="2" max="2" width="6.6640625" style="3" bestFit="1" customWidth="1"/>
    <col min="3" max="3" width="31.6640625" style="3" customWidth="1"/>
    <col min="4" max="7" width="8.6640625" style="3" customWidth="1"/>
    <col min="8" max="11" width="8.6640625" customWidth="1"/>
  </cols>
  <sheetData>
    <row r="2" spans="2:11" ht="25.8" x14ac:dyDescent="0.5">
      <c r="B2" s="12" t="s">
        <v>281</v>
      </c>
    </row>
    <row r="4" spans="2:11" ht="15" customHeight="1" x14ac:dyDescent="0.3">
      <c r="B4" s="13" t="s">
        <v>75</v>
      </c>
      <c r="C4" s="14"/>
      <c r="D4" s="15" t="s">
        <v>76</v>
      </c>
      <c r="E4" s="14"/>
      <c r="F4" s="15" t="s">
        <v>194</v>
      </c>
      <c r="G4" s="14"/>
      <c r="H4" s="15" t="s">
        <v>192</v>
      </c>
      <c r="J4" s="15" t="s">
        <v>190</v>
      </c>
    </row>
    <row r="5" spans="2:11" ht="15" customHeight="1" x14ac:dyDescent="0.3">
      <c r="B5" s="17" t="s">
        <v>77</v>
      </c>
      <c r="C5" s="18"/>
      <c r="D5" s="18">
        <v>10000</v>
      </c>
      <c r="E5" s="18"/>
      <c r="F5" s="18">
        <v>7500</v>
      </c>
      <c r="G5" s="18"/>
      <c r="H5" s="137">
        <f>F5*4/3</f>
        <v>10000</v>
      </c>
      <c r="J5" s="48">
        <v>10000</v>
      </c>
    </row>
    <row r="6" spans="2:11" ht="15" customHeight="1" x14ac:dyDescent="0.3">
      <c r="H6" s="8"/>
    </row>
    <row r="7" spans="2:11" ht="17.100000000000001" customHeight="1" x14ac:dyDescent="0.3"/>
    <row r="8" spans="2:11" ht="15" customHeight="1" x14ac:dyDescent="0.3">
      <c r="B8" s="10"/>
      <c r="C8" s="11"/>
      <c r="D8" s="171" t="s">
        <v>76</v>
      </c>
      <c r="E8" s="172"/>
      <c r="F8" s="171" t="s">
        <v>194</v>
      </c>
      <c r="G8" s="159"/>
      <c r="H8" s="146" t="s">
        <v>192</v>
      </c>
      <c r="I8" s="146"/>
      <c r="J8" s="147" t="s">
        <v>191</v>
      </c>
      <c r="K8" s="147"/>
    </row>
    <row r="9" spans="2:11" ht="15" customHeight="1" x14ac:dyDescent="0.3">
      <c r="B9" s="10"/>
      <c r="C9" s="11"/>
      <c r="D9" s="11" t="s">
        <v>2</v>
      </c>
      <c r="E9" s="11" t="str">
        <f>"Kč/m"&amp;UPPER("3")</f>
        <v>Kč/m3</v>
      </c>
      <c r="F9" s="11" t="s">
        <v>2</v>
      </c>
      <c r="G9" s="11" t="str">
        <f>"Kč/m"&amp;UPPER("3")</f>
        <v>Kč/m3</v>
      </c>
      <c r="H9" s="11" t="s">
        <v>2</v>
      </c>
      <c r="I9" s="11" t="str">
        <f>"Kč/m"&amp;UPPER("3")</f>
        <v>Kč/m3</v>
      </c>
      <c r="J9" s="19" t="s">
        <v>2</v>
      </c>
      <c r="K9" s="19" t="str">
        <f>"Kč/m"&amp;UPPER("3")</f>
        <v>Kč/m3</v>
      </c>
    </row>
    <row r="10" spans="2:11" ht="15" customHeight="1" x14ac:dyDescent="0.3">
      <c r="B10" s="20" t="s">
        <v>3</v>
      </c>
      <c r="C10" s="21" t="s">
        <v>4</v>
      </c>
      <c r="D10" s="22">
        <f>SUM(D11:D13)</f>
        <v>0</v>
      </c>
      <c r="E10" s="23">
        <f>IFERROR(D10/$D$5,"n/a")</f>
        <v>0</v>
      </c>
      <c r="F10" s="22">
        <f>SUM(F11:F13)</f>
        <v>0</v>
      </c>
      <c r="G10" s="23">
        <f>IFERROR(F10/$F$5,"n/a")</f>
        <v>0</v>
      </c>
      <c r="H10" s="22">
        <f>SUM(H11:H13)</f>
        <v>0</v>
      </c>
      <c r="I10" s="23">
        <f>IFERROR(H10/$H$5,"n/a")</f>
        <v>0</v>
      </c>
      <c r="J10" s="22">
        <f>SUM(J11:J13)</f>
        <v>0</v>
      </c>
      <c r="K10" s="23">
        <f>IFERROR(J10/$J$5,"n/a")</f>
        <v>0</v>
      </c>
    </row>
    <row r="11" spans="2:11" ht="15" customHeight="1" x14ac:dyDescent="0.3">
      <c r="B11" s="16" t="s">
        <v>5</v>
      </c>
      <c r="C11" s="3" t="s">
        <v>78</v>
      </c>
      <c r="D11" s="6"/>
      <c r="E11" s="4">
        <f t="shared" ref="E11:E49" si="0">IFERROR(D11/$D$5,"n/a")</f>
        <v>0</v>
      </c>
      <c r="F11" s="6">
        <f>SUMIFS('skutečné náklady 25'!$J:$J,'skutečné náklady 25'!$F:$F,"Mochtín",'skutečné náklady 25'!$E:$E,"stočné",'skutečné náklady 25'!$L:$L,$B11)</f>
        <v>0</v>
      </c>
      <c r="G11" s="4">
        <f t="shared" ref="G11:G61" si="1">IFERROR(F11/$F$5,"n/a")</f>
        <v>0</v>
      </c>
      <c r="H11" s="6">
        <v>0</v>
      </c>
      <c r="I11" s="4">
        <f t="shared" ref="I11:I33" si="2">IFERROR(H11/$H$5,"n/a")</f>
        <v>0</v>
      </c>
      <c r="J11" s="6">
        <v>0</v>
      </c>
      <c r="K11" s="4">
        <f t="shared" ref="K11:K33" si="3">IFERROR(J11/$J$5,"n/a")</f>
        <v>0</v>
      </c>
    </row>
    <row r="12" spans="2:11" ht="15" customHeight="1" x14ac:dyDescent="0.3">
      <c r="B12" s="16" t="s">
        <v>6</v>
      </c>
      <c r="C12" s="3" t="s">
        <v>7</v>
      </c>
      <c r="D12" s="6"/>
      <c r="E12" s="4">
        <f t="shared" si="0"/>
        <v>0</v>
      </c>
      <c r="F12" s="6">
        <f>SUMIFS('skutečné náklady 25'!$J:$J,'skutečné náklady 25'!$F:$F,"Mochtín",'skutečné náklady 25'!$E:$E,"stočné",'skutečné náklady 25'!$L:$L,$B12)</f>
        <v>0</v>
      </c>
      <c r="G12" s="4">
        <f t="shared" si="1"/>
        <v>0</v>
      </c>
      <c r="H12" s="6">
        <v>0</v>
      </c>
      <c r="I12" s="4">
        <f t="shared" si="2"/>
        <v>0</v>
      </c>
      <c r="J12" s="4">
        <v>0</v>
      </c>
      <c r="K12" s="4">
        <f t="shared" si="3"/>
        <v>0</v>
      </c>
    </row>
    <row r="13" spans="2:11" ht="15" customHeight="1" x14ac:dyDescent="0.3">
      <c r="B13" s="16" t="s">
        <v>8</v>
      </c>
      <c r="C13" s="3" t="s">
        <v>9</v>
      </c>
      <c r="D13" s="6"/>
      <c r="E13" s="4">
        <f t="shared" si="0"/>
        <v>0</v>
      </c>
      <c r="F13" s="6">
        <f>SUMIFS('skutečné náklady 25'!$J:$J,'skutečné náklady 25'!$F:$F,"Mochtín",'skutečné náklady 25'!$E:$E,"stočné",'skutečné náklady 25'!$L:$L,$B13)</f>
        <v>0</v>
      </c>
      <c r="G13" s="4">
        <f t="shared" si="1"/>
        <v>0</v>
      </c>
      <c r="H13" s="6">
        <v>0</v>
      </c>
      <c r="I13" s="4">
        <f t="shared" si="2"/>
        <v>0</v>
      </c>
      <c r="J13" s="4">
        <v>0</v>
      </c>
      <c r="K13" s="4">
        <f t="shared" si="3"/>
        <v>0</v>
      </c>
    </row>
    <row r="14" spans="2:11" ht="15" customHeight="1" x14ac:dyDescent="0.3">
      <c r="B14" s="20" t="s">
        <v>10</v>
      </c>
      <c r="C14" s="21" t="s">
        <v>11</v>
      </c>
      <c r="D14" s="22">
        <f>SUM(D15:D16)</f>
        <v>0</v>
      </c>
      <c r="E14" s="23">
        <f t="shared" si="0"/>
        <v>0</v>
      </c>
      <c r="F14" s="22">
        <f>SUM(F15:F16)</f>
        <v>0</v>
      </c>
      <c r="G14" s="23">
        <f t="shared" si="1"/>
        <v>0</v>
      </c>
      <c r="H14" s="22">
        <f>SUM(H15:H16)</f>
        <v>0</v>
      </c>
      <c r="I14" s="23">
        <f t="shared" si="2"/>
        <v>0</v>
      </c>
      <c r="J14" s="22">
        <f>SUM(J15:J16)</f>
        <v>0</v>
      </c>
      <c r="K14" s="23">
        <f t="shared" si="3"/>
        <v>0</v>
      </c>
    </row>
    <row r="15" spans="2:11" ht="15" customHeight="1" x14ac:dyDescent="0.3">
      <c r="B15" s="16" t="s">
        <v>12</v>
      </c>
      <c r="C15" s="3" t="s">
        <v>13</v>
      </c>
      <c r="D15" s="6"/>
      <c r="E15" s="4">
        <f t="shared" si="0"/>
        <v>0</v>
      </c>
      <c r="F15" s="6">
        <f>SUMIFS('skutečné náklady 25'!$J:$J,'skutečné náklady 25'!$F:$F,"Mochtín",'skutečné náklady 25'!$E:$E,"stočné",'skutečné náklady 25'!$L:$L,$B15)</f>
        <v>0</v>
      </c>
      <c r="G15" s="4">
        <f t="shared" si="1"/>
        <v>0</v>
      </c>
      <c r="H15" s="6">
        <v>0</v>
      </c>
      <c r="I15" s="4">
        <f t="shared" si="2"/>
        <v>0</v>
      </c>
      <c r="J15" s="6">
        <v>0</v>
      </c>
      <c r="K15" s="4">
        <f t="shared" si="3"/>
        <v>0</v>
      </c>
    </row>
    <row r="16" spans="2:11" ht="15" customHeight="1" x14ac:dyDescent="0.3">
      <c r="B16" s="16" t="s">
        <v>14</v>
      </c>
      <c r="C16" s="3" t="s">
        <v>15</v>
      </c>
      <c r="D16" s="6"/>
      <c r="E16" s="4">
        <f t="shared" si="0"/>
        <v>0</v>
      </c>
      <c r="F16" s="6">
        <f>SUMIFS('skutečné náklady 25'!$J:$J,'skutečné náklady 25'!$F:$F,"Mochtín",'skutečné náklady 25'!$E:$E,"stočné",'skutečné náklady 25'!$L:$L,$B16)</f>
        <v>0</v>
      </c>
      <c r="G16" s="4">
        <f t="shared" si="1"/>
        <v>0</v>
      </c>
      <c r="H16" s="6">
        <v>0</v>
      </c>
      <c r="I16" s="4">
        <f t="shared" si="2"/>
        <v>0</v>
      </c>
      <c r="J16" s="4">
        <v>0</v>
      </c>
      <c r="K16" s="4">
        <f t="shared" si="3"/>
        <v>0</v>
      </c>
    </row>
    <row r="17" spans="2:11" ht="15" customHeight="1" x14ac:dyDescent="0.3">
      <c r="B17" s="20" t="s">
        <v>16</v>
      </c>
      <c r="C17" s="21" t="s">
        <v>17</v>
      </c>
      <c r="D17" s="22">
        <f>SUM(D18:D19)</f>
        <v>0</v>
      </c>
      <c r="E17" s="23">
        <f t="shared" si="0"/>
        <v>0</v>
      </c>
      <c r="F17" s="22">
        <f>SUM(F18:F19)</f>
        <v>0</v>
      </c>
      <c r="G17" s="23">
        <f t="shared" si="1"/>
        <v>0</v>
      </c>
      <c r="H17" s="22">
        <f>SUM(H18:H19)</f>
        <v>0</v>
      </c>
      <c r="I17" s="23">
        <f t="shared" si="2"/>
        <v>0</v>
      </c>
      <c r="J17" s="22">
        <f>SUM(J18:J19)</f>
        <v>0</v>
      </c>
      <c r="K17" s="23">
        <f t="shared" si="3"/>
        <v>0</v>
      </c>
    </row>
    <row r="18" spans="2:11" ht="15" customHeight="1" x14ac:dyDescent="0.3">
      <c r="B18" s="16" t="s">
        <v>18</v>
      </c>
      <c r="C18" s="3" t="s">
        <v>19</v>
      </c>
      <c r="D18" s="6"/>
      <c r="E18" s="4">
        <f t="shared" si="0"/>
        <v>0</v>
      </c>
      <c r="F18" s="6">
        <f>SUMIFS('skutečné náklady 25'!$J:$J,'skutečné náklady 25'!$F:$F,"Mochtín",'skutečné náklady 25'!$E:$E,"stočné",'skutečné náklady 25'!$L:$L,$B18)</f>
        <v>0</v>
      </c>
      <c r="G18" s="4">
        <f t="shared" si="1"/>
        <v>0</v>
      </c>
      <c r="H18" s="6">
        <v>0</v>
      </c>
      <c r="I18" s="4">
        <f t="shared" si="2"/>
        <v>0</v>
      </c>
      <c r="J18" s="6">
        <v>0</v>
      </c>
      <c r="K18" s="4">
        <f t="shared" si="3"/>
        <v>0</v>
      </c>
    </row>
    <row r="19" spans="2:11" ht="15" customHeight="1" x14ac:dyDescent="0.3">
      <c r="B19" s="16" t="s">
        <v>20</v>
      </c>
      <c r="C19" s="3" t="s">
        <v>21</v>
      </c>
      <c r="D19" s="6"/>
      <c r="E19" s="4">
        <f t="shared" si="0"/>
        <v>0</v>
      </c>
      <c r="F19" s="6">
        <f>SUMIFS('skutečné náklady 25'!$J:$J,'skutečné náklady 25'!$F:$F,"Mochtín",'skutečné náklady 25'!$E:$E,"stočné",'skutečné náklady 25'!$L:$L,$B19)</f>
        <v>0</v>
      </c>
      <c r="G19" s="4">
        <f t="shared" si="1"/>
        <v>0</v>
      </c>
      <c r="H19" s="6">
        <v>0</v>
      </c>
      <c r="I19" s="4">
        <f t="shared" si="2"/>
        <v>0</v>
      </c>
      <c r="J19" s="6">
        <v>0</v>
      </c>
      <c r="K19" s="4">
        <f t="shared" si="3"/>
        <v>0</v>
      </c>
    </row>
    <row r="20" spans="2:11" ht="15" customHeight="1" x14ac:dyDescent="0.3">
      <c r="B20" s="20" t="s">
        <v>22</v>
      </c>
      <c r="C20" s="21" t="s">
        <v>23</v>
      </c>
      <c r="D20" s="22">
        <f>SUM(D21:D23,D24)</f>
        <v>0</v>
      </c>
      <c r="E20" s="23">
        <f t="shared" si="0"/>
        <v>0</v>
      </c>
      <c r="F20" s="22">
        <f>SUM(F21:F23,F24)</f>
        <v>0</v>
      </c>
      <c r="G20" s="23">
        <f t="shared" si="1"/>
        <v>0</v>
      </c>
      <c r="H20" s="22">
        <f>SUM(H21:H23,H24)</f>
        <v>0</v>
      </c>
      <c r="I20" s="23">
        <f t="shared" si="2"/>
        <v>0</v>
      </c>
      <c r="J20" s="22">
        <f>SUM(J21:J23,J24)</f>
        <v>0</v>
      </c>
      <c r="K20" s="23">
        <f t="shared" si="3"/>
        <v>0</v>
      </c>
    </row>
    <row r="21" spans="2:11" ht="15" customHeight="1" x14ac:dyDescent="0.3">
      <c r="B21" s="16" t="s">
        <v>24</v>
      </c>
      <c r="C21" s="3" t="s">
        <v>25</v>
      </c>
      <c r="D21" s="6"/>
      <c r="E21" s="4">
        <f t="shared" si="0"/>
        <v>0</v>
      </c>
      <c r="F21" s="6">
        <f>SUMIFS('skutečné náklady 25'!$J:$J,'skutečné náklady 25'!$F:$F,"Mochtín",'skutečné náklady 25'!$E:$E,"stočné",'skutečné náklady 25'!$L:$L,$B21)</f>
        <v>0</v>
      </c>
      <c r="G21" s="4">
        <f t="shared" si="1"/>
        <v>0</v>
      </c>
      <c r="H21" s="6">
        <v>0</v>
      </c>
      <c r="I21" s="4">
        <f t="shared" si="2"/>
        <v>0</v>
      </c>
      <c r="J21" s="4">
        <v>0</v>
      </c>
      <c r="K21" s="4">
        <f t="shared" si="3"/>
        <v>0</v>
      </c>
    </row>
    <row r="22" spans="2:11" ht="15" customHeight="1" x14ac:dyDescent="0.3">
      <c r="B22" s="16" t="s">
        <v>26</v>
      </c>
      <c r="C22" s="3" t="s">
        <v>27</v>
      </c>
      <c r="D22" s="6"/>
      <c r="E22" s="4">
        <f t="shared" si="0"/>
        <v>0</v>
      </c>
      <c r="F22" s="6">
        <f>SUMIFS('skutečné náklady 25'!$J:$J,'skutečné náklady 25'!$F:$F,"Mochtín",'skutečné náklady 25'!$E:$E,"stočné",'skutečné náklady 25'!$L:$L,$B22)</f>
        <v>0</v>
      </c>
      <c r="G22" s="4">
        <f t="shared" si="1"/>
        <v>0</v>
      </c>
      <c r="H22" s="6">
        <v>0</v>
      </c>
      <c r="I22" s="4">
        <f t="shared" si="2"/>
        <v>0</v>
      </c>
      <c r="J22" s="4">
        <v>0</v>
      </c>
      <c r="K22" s="4">
        <f t="shared" si="3"/>
        <v>0</v>
      </c>
    </row>
    <row r="23" spans="2:11" ht="15" customHeight="1" x14ac:dyDescent="0.3">
      <c r="B23" s="16" t="s">
        <v>28</v>
      </c>
      <c r="C23" s="3" t="s">
        <v>29</v>
      </c>
      <c r="D23" s="6"/>
      <c r="E23" s="4">
        <f t="shared" si="0"/>
        <v>0</v>
      </c>
      <c r="F23" s="6">
        <f>SUMIFS('skutečné náklady 25'!$J:$J,'skutečné náklady 25'!$F:$F,"Mochtín",'skutečné náklady 25'!$E:$E,"stočné",'skutečné náklady 25'!$L:$L,$B23)</f>
        <v>0</v>
      </c>
      <c r="G23" s="4">
        <f t="shared" si="1"/>
        <v>0</v>
      </c>
      <c r="H23" s="6">
        <v>0</v>
      </c>
      <c r="I23" s="4">
        <f t="shared" si="2"/>
        <v>0</v>
      </c>
      <c r="J23" s="6">
        <v>0</v>
      </c>
      <c r="K23" s="4">
        <f t="shared" si="3"/>
        <v>0</v>
      </c>
    </row>
    <row r="24" spans="2:11" ht="15" customHeight="1" x14ac:dyDescent="0.3">
      <c r="B24" s="16" t="s">
        <v>30</v>
      </c>
      <c r="C24" s="3" t="s">
        <v>31</v>
      </c>
      <c r="D24" s="6"/>
      <c r="E24" s="4">
        <f t="shared" si="0"/>
        <v>0</v>
      </c>
      <c r="F24" s="6">
        <f>SUMIFS('skutečné náklady 25'!$J:$J,'skutečné náklady 25'!$F:$F,"Mochtín",'skutečné náklady 25'!$E:$E,"stočné",'skutečné náklady 25'!$L:$L,$B24)</f>
        <v>0</v>
      </c>
      <c r="G24" s="4">
        <f t="shared" si="1"/>
        <v>0</v>
      </c>
      <c r="H24" s="6">
        <v>0</v>
      </c>
      <c r="I24" s="4">
        <f t="shared" si="2"/>
        <v>0</v>
      </c>
      <c r="J24" s="4">
        <v>0</v>
      </c>
      <c r="K24" s="4">
        <f t="shared" si="3"/>
        <v>0</v>
      </c>
    </row>
    <row r="25" spans="2:11" ht="15" customHeight="1" x14ac:dyDescent="0.3">
      <c r="B25" s="20" t="s">
        <v>32</v>
      </c>
      <c r="C25" s="21" t="s">
        <v>33</v>
      </c>
      <c r="D25" s="22">
        <f>SUM(D26:D26,D27)</f>
        <v>13600</v>
      </c>
      <c r="E25" s="23">
        <f t="shared" si="0"/>
        <v>1.36</v>
      </c>
      <c r="F25" s="22">
        <f>SUM(F26:F26,F27)</f>
        <v>33662</v>
      </c>
      <c r="G25" s="23">
        <f t="shared" si="1"/>
        <v>4.4882666666666671</v>
      </c>
      <c r="H25" s="22">
        <f>SUM(H26:H26,H27)</f>
        <v>44882.666666666664</v>
      </c>
      <c r="I25" s="23">
        <f t="shared" si="2"/>
        <v>4.4882666666666662</v>
      </c>
      <c r="J25" s="22">
        <f>SUM(J26:J26,J27)</f>
        <v>21928.85</v>
      </c>
      <c r="K25" s="23">
        <f t="shared" si="3"/>
        <v>2.192885</v>
      </c>
    </row>
    <row r="26" spans="2:11" ht="15" customHeight="1" x14ac:dyDescent="0.3">
      <c r="B26" s="16" t="s">
        <v>34</v>
      </c>
      <c r="C26" s="3" t="s">
        <v>35</v>
      </c>
      <c r="D26" s="6">
        <v>13600</v>
      </c>
      <c r="E26" s="4">
        <f t="shared" si="0"/>
        <v>1.36</v>
      </c>
      <c r="F26" s="6">
        <f>SUMIFS('skutečné náklady 25'!$J:$J,'skutečné náklady 25'!$F:$F,"Mochtín",'skutečné náklady 25'!$E:$E,"stočné",'skutečné náklady 25'!$L:$L,$B26)</f>
        <v>33662</v>
      </c>
      <c r="G26" s="4">
        <f t="shared" si="1"/>
        <v>4.4882666666666671</v>
      </c>
      <c r="H26" s="6">
        <f>F26*4/3</f>
        <v>44882.666666666664</v>
      </c>
      <c r="I26" s="4">
        <f t="shared" si="2"/>
        <v>4.4882666666666662</v>
      </c>
      <c r="J26" s="6">
        <f>'Předpoklady Mochtín VKV'!H8</f>
        <v>21928.85</v>
      </c>
      <c r="K26" s="4">
        <f t="shared" si="3"/>
        <v>2.192885</v>
      </c>
    </row>
    <row r="27" spans="2:11" ht="15" customHeight="1" x14ac:dyDescent="0.3">
      <c r="B27" s="16" t="s">
        <v>36</v>
      </c>
      <c r="C27" s="3" t="s">
        <v>37</v>
      </c>
      <c r="D27" s="6">
        <v>0</v>
      </c>
      <c r="E27" s="4">
        <f t="shared" si="0"/>
        <v>0</v>
      </c>
      <c r="F27" s="6">
        <f>SUMIFS('skutečné náklady 25'!$J:$J,'skutečné náklady 25'!$F:$F,"Mochtín",'skutečné náklady 25'!$E:$E,"stočné",'skutečné náklady 25'!$L:$L,$B27)</f>
        <v>0</v>
      </c>
      <c r="G27" s="4">
        <f t="shared" si="1"/>
        <v>0</v>
      </c>
      <c r="H27" s="6">
        <v>0</v>
      </c>
      <c r="I27" s="4">
        <f t="shared" si="2"/>
        <v>0</v>
      </c>
      <c r="J27" s="6">
        <v>0</v>
      </c>
      <c r="K27" s="4">
        <f t="shared" si="3"/>
        <v>0</v>
      </c>
    </row>
    <row r="28" spans="2:11" ht="15" customHeight="1" x14ac:dyDescent="0.3">
      <c r="B28" s="20" t="s">
        <v>38</v>
      </c>
      <c r="C28" s="21" t="s">
        <v>39</v>
      </c>
      <c r="D28" s="22">
        <v>0</v>
      </c>
      <c r="E28" s="23">
        <f t="shared" si="0"/>
        <v>0</v>
      </c>
      <c r="F28" s="22">
        <f>SUMIFS('skutečné náklady 25'!$J:$J,'skutečné náklady 25'!$F:$F,"Mochtín",'skutečné náklady 25'!$E:$E,"stočné",'skutečné náklady 25'!$L:$L,$B28)</f>
        <v>0</v>
      </c>
      <c r="G28" s="23">
        <f t="shared" si="1"/>
        <v>0</v>
      </c>
      <c r="H28" s="22">
        <f>SUMIFS('skutečné náklady 23'!$F:$F,'skutečné náklady 23'!$G:$G,"Kocourov",'skutečné náklady 23'!$H:$H,$B28)</f>
        <v>0</v>
      </c>
      <c r="I28" s="23">
        <f t="shared" si="2"/>
        <v>0</v>
      </c>
      <c r="J28" s="23">
        <v>0</v>
      </c>
      <c r="K28" s="23">
        <f t="shared" si="3"/>
        <v>0</v>
      </c>
    </row>
    <row r="29" spans="2:11" ht="15" customHeight="1" x14ac:dyDescent="0.3">
      <c r="B29" s="20" t="s">
        <v>40</v>
      </c>
      <c r="C29" s="21" t="s">
        <v>41</v>
      </c>
      <c r="D29" s="22">
        <v>0</v>
      </c>
      <c r="E29" s="23">
        <f t="shared" si="0"/>
        <v>0</v>
      </c>
      <c r="F29" s="22">
        <f>SUMIFS('skutečné náklady 25'!$J:$J,'skutečné náklady 25'!$F:$F,"Mochtín",'skutečné náklady 25'!$E:$E,"stočné",'skutečné náklady 25'!$L:$L,$B29)</f>
        <v>0</v>
      </c>
      <c r="G29" s="23">
        <f t="shared" si="1"/>
        <v>0</v>
      </c>
      <c r="H29" s="22">
        <f>SUMIFS('skutečné náklady 23'!$F:$F,'skutečné náklady 23'!$G:$G,"Kocourov",'skutečné náklady 23'!$H:$H,$B29)</f>
        <v>0</v>
      </c>
      <c r="I29" s="23">
        <f t="shared" si="2"/>
        <v>0</v>
      </c>
      <c r="J29" s="23">
        <v>0</v>
      </c>
      <c r="K29" s="23">
        <f t="shared" si="3"/>
        <v>0</v>
      </c>
    </row>
    <row r="30" spans="2:11" ht="15" customHeight="1" x14ac:dyDescent="0.3">
      <c r="B30" s="20" t="s">
        <v>42</v>
      </c>
      <c r="C30" s="21" t="s">
        <v>43</v>
      </c>
      <c r="D30" s="22">
        <v>0</v>
      </c>
      <c r="E30" s="23">
        <f t="shared" si="0"/>
        <v>0</v>
      </c>
      <c r="F30" s="22">
        <f>SUMIFS('skutečné náklady 25'!$J:$J,'skutečné náklady 25'!$F:$F,"Mochtín",'skutečné náklady 25'!$E:$E,"stočné",'skutečné náklady 25'!$L:$L,$B30)</f>
        <v>0</v>
      </c>
      <c r="G30" s="23">
        <f t="shared" si="1"/>
        <v>0</v>
      </c>
      <c r="H30" s="22">
        <f>SUMIFS('skutečné náklady 23'!$F:$F,'skutečné náklady 23'!$G:$G,"Kocourov",'skutečné náklady 23'!$H:$H,$B30)</f>
        <v>0</v>
      </c>
      <c r="I30" s="23">
        <f t="shared" si="2"/>
        <v>0</v>
      </c>
      <c r="J30" s="22">
        <v>0</v>
      </c>
      <c r="K30" s="23">
        <f>IFERROR(J30/$J$5,"n/a")</f>
        <v>0</v>
      </c>
    </row>
    <row r="31" spans="2:11" ht="15" customHeight="1" x14ac:dyDescent="0.3">
      <c r="B31" s="20" t="s">
        <v>44</v>
      </c>
      <c r="C31" s="21" t="s">
        <v>45</v>
      </c>
      <c r="D31" s="22">
        <v>0</v>
      </c>
      <c r="E31" s="23">
        <f t="shared" si="0"/>
        <v>0</v>
      </c>
      <c r="F31" s="22">
        <f>SUMIFS('skutečné náklady 25'!$J:$J,'skutečné náklady 25'!$F:$F,"Mochtín",'skutečné náklady 25'!$E:$E,"stočné",'skutečné náklady 25'!$L:$L,$B31)</f>
        <v>0</v>
      </c>
      <c r="G31" s="23">
        <f t="shared" si="1"/>
        <v>0</v>
      </c>
      <c r="H31" s="22">
        <f>SUMIFS('skutečné náklady 23'!$F:$F,'skutečné náklady 23'!$G:$G,"Kocourov",'skutečné náklady 23'!$H:$H,$B31)</f>
        <v>0</v>
      </c>
      <c r="I31" s="23">
        <f t="shared" si="2"/>
        <v>0</v>
      </c>
      <c r="J31" s="22">
        <v>0</v>
      </c>
      <c r="K31" s="23">
        <f t="shared" si="3"/>
        <v>0</v>
      </c>
    </row>
    <row r="32" spans="2:11" ht="15" customHeight="1" outlineLevel="1" x14ac:dyDescent="0.3">
      <c r="B32" s="16" t="s">
        <v>46</v>
      </c>
      <c r="C32" s="3" t="s">
        <v>47</v>
      </c>
      <c r="D32" s="6">
        <v>0</v>
      </c>
      <c r="E32" s="4">
        <f t="shared" si="0"/>
        <v>0</v>
      </c>
      <c r="F32" s="6">
        <f>SUMIFS('skutečné náklady 25'!$J:$J,'skutečné náklady 25'!$F:$F,"Mochtín",'skutečné náklady 25'!$E:$E,"stočné",'skutečné náklady 25'!$L:$L,$B32)</f>
        <v>0</v>
      </c>
      <c r="G32" s="4">
        <f t="shared" si="1"/>
        <v>0</v>
      </c>
      <c r="H32" s="6">
        <f>SUMIFS('skutečné náklady 23'!$F:$F,'skutečné náklady 23'!$G:$G,"Kocourov",'skutečné náklady 23'!$H:$H,$B32)</f>
        <v>0</v>
      </c>
      <c r="I32" s="4">
        <f t="shared" si="2"/>
        <v>0</v>
      </c>
      <c r="J32" s="6">
        <v>0</v>
      </c>
      <c r="K32" s="4">
        <f t="shared" si="3"/>
        <v>0</v>
      </c>
    </row>
    <row r="33" spans="2:11" ht="15" customHeight="1" x14ac:dyDescent="0.3">
      <c r="B33" s="24" t="s">
        <v>48</v>
      </c>
      <c r="C33" s="25" t="s">
        <v>49</v>
      </c>
      <c r="D33" s="26">
        <f>SUM(D10,D14,D17,D20,D25,D28:D30,D31)</f>
        <v>13600</v>
      </c>
      <c r="E33" s="27">
        <f t="shared" si="0"/>
        <v>1.36</v>
      </c>
      <c r="F33" s="26">
        <f>SUM(F10,F14,F17,F20,F25,F28:F30,F31)</f>
        <v>33662</v>
      </c>
      <c r="G33" s="27">
        <f t="shared" si="1"/>
        <v>4.4882666666666671</v>
      </c>
      <c r="H33" s="26">
        <f>SUM(H10,H14,H17,H20,H25,H28:H30,H31)</f>
        <v>44882.666666666664</v>
      </c>
      <c r="I33" s="27">
        <f t="shared" si="2"/>
        <v>4.4882666666666662</v>
      </c>
      <c r="J33" s="26">
        <f>SUM(J10,J14,J17,J20,J25,J28:J30,J31)</f>
        <v>21928.85</v>
      </c>
      <c r="K33" s="27">
        <f t="shared" si="3"/>
        <v>2.192885</v>
      </c>
    </row>
    <row r="34" spans="2:11" ht="15" customHeight="1" x14ac:dyDescent="0.3">
      <c r="D34" s="6"/>
      <c r="E34"/>
      <c r="F34" s="6"/>
      <c r="G34"/>
      <c r="H34" s="6"/>
    </row>
    <row r="35" spans="2:11" ht="15" customHeight="1" x14ac:dyDescent="0.3">
      <c r="B35" s="28" t="s">
        <v>50</v>
      </c>
      <c r="C35" s="29" t="s">
        <v>51</v>
      </c>
      <c r="D35" s="30">
        <f>SUM(D36:D38,D40:D41,D43:D44,D46:D47)</f>
        <v>0</v>
      </c>
      <c r="E35" s="31">
        <f t="shared" si="0"/>
        <v>0</v>
      </c>
      <c r="F35" s="30">
        <f>SUM(F36:F38,F40:F41,F43:F44,F46:F47)</f>
        <v>0</v>
      </c>
      <c r="G35" s="31">
        <f t="shared" si="1"/>
        <v>0</v>
      </c>
      <c r="H35" s="30">
        <f>SUM(H36:H38,H40:H41,H43:H44,H46:H47)</f>
        <v>0</v>
      </c>
      <c r="I35" s="31">
        <f t="shared" ref="I35:I47" si="4">IFERROR(H35/$H$5,"n/a")</f>
        <v>0</v>
      </c>
      <c r="J35" s="30">
        <f>SUM(J36:J38,J40:J41,J43:J44,J46:J47)</f>
        <v>0</v>
      </c>
      <c r="K35" s="31">
        <f t="shared" ref="K35:K47" si="5">IFERROR(J35/$J$5,"n/a")</f>
        <v>0</v>
      </c>
    </row>
    <row r="36" spans="2:11" ht="15" customHeight="1" x14ac:dyDescent="0.3">
      <c r="B36" s="16" t="s">
        <v>52</v>
      </c>
      <c r="C36" s="3" t="s">
        <v>53</v>
      </c>
      <c r="D36" s="6">
        <v>0</v>
      </c>
      <c r="E36" s="4">
        <f t="shared" si="0"/>
        <v>0</v>
      </c>
      <c r="F36" s="6">
        <v>0</v>
      </c>
      <c r="G36" s="4">
        <f t="shared" si="1"/>
        <v>0</v>
      </c>
      <c r="H36" s="6">
        <v>0</v>
      </c>
      <c r="I36" s="4">
        <f t="shared" si="4"/>
        <v>0</v>
      </c>
      <c r="J36" s="4">
        <v>0</v>
      </c>
      <c r="K36" s="4">
        <f t="shared" si="5"/>
        <v>0</v>
      </c>
    </row>
    <row r="37" spans="2:11" ht="15" customHeight="1" x14ac:dyDescent="0.3">
      <c r="B37" s="16" t="s">
        <v>54</v>
      </c>
      <c r="C37" s="3" t="s">
        <v>55</v>
      </c>
      <c r="D37" s="6">
        <v>0</v>
      </c>
      <c r="E37" s="4">
        <f t="shared" si="0"/>
        <v>0</v>
      </c>
      <c r="F37" s="6">
        <v>0</v>
      </c>
      <c r="G37" s="4">
        <f t="shared" si="1"/>
        <v>0</v>
      </c>
      <c r="H37" s="6">
        <v>0</v>
      </c>
      <c r="I37" s="4">
        <f t="shared" si="4"/>
        <v>0</v>
      </c>
      <c r="J37" s="6">
        <v>0</v>
      </c>
      <c r="K37" s="4">
        <v>0</v>
      </c>
    </row>
    <row r="38" spans="2:11" ht="15" customHeight="1" x14ac:dyDescent="0.3">
      <c r="B38" s="16" t="s">
        <v>56</v>
      </c>
      <c r="C38" s="3" t="s">
        <v>57</v>
      </c>
      <c r="D38" s="6">
        <v>0</v>
      </c>
      <c r="E38" s="4">
        <f t="shared" si="0"/>
        <v>0</v>
      </c>
      <c r="F38" s="6">
        <v>0</v>
      </c>
      <c r="G38" s="4">
        <f t="shared" si="1"/>
        <v>0</v>
      </c>
      <c r="H38" s="6">
        <v>0</v>
      </c>
      <c r="I38" s="4">
        <f t="shared" si="4"/>
        <v>0</v>
      </c>
      <c r="J38" s="4">
        <v>0</v>
      </c>
      <c r="K38" s="4">
        <f t="shared" si="5"/>
        <v>0</v>
      </c>
    </row>
    <row r="39" spans="2:11" ht="7.5" customHeight="1" x14ac:dyDescent="0.3">
      <c r="B39" s="16"/>
      <c r="D39" s="6"/>
      <c r="E39" s="4"/>
      <c r="F39" s="6"/>
      <c r="G39" s="4"/>
      <c r="H39" s="6"/>
      <c r="I39" s="4"/>
      <c r="J39" s="4"/>
      <c r="K39" s="4"/>
    </row>
    <row r="40" spans="2:11" ht="15" customHeight="1" x14ac:dyDescent="0.3">
      <c r="B40" s="16" t="s">
        <v>58</v>
      </c>
      <c r="C40" s="3" t="s">
        <v>59</v>
      </c>
      <c r="D40" s="6">
        <v>0</v>
      </c>
      <c r="E40" s="4">
        <f t="shared" si="0"/>
        <v>0</v>
      </c>
      <c r="F40" s="6">
        <v>0</v>
      </c>
      <c r="G40" s="4">
        <f t="shared" si="1"/>
        <v>0</v>
      </c>
      <c r="H40" s="6">
        <v>0</v>
      </c>
      <c r="I40" s="4">
        <f t="shared" si="4"/>
        <v>0</v>
      </c>
      <c r="J40" s="4">
        <v>0</v>
      </c>
      <c r="K40" s="4">
        <f t="shared" si="5"/>
        <v>0</v>
      </c>
    </row>
    <row r="41" spans="2:11" ht="15" customHeight="1" x14ac:dyDescent="0.3">
      <c r="B41" s="16" t="s">
        <v>60</v>
      </c>
      <c r="C41" s="3" t="s">
        <v>61</v>
      </c>
      <c r="D41" s="6">
        <v>0</v>
      </c>
      <c r="E41" s="4">
        <f t="shared" si="0"/>
        <v>0</v>
      </c>
      <c r="F41" s="6">
        <v>0</v>
      </c>
      <c r="G41" s="4">
        <f t="shared" si="1"/>
        <v>0</v>
      </c>
      <c r="H41" s="6">
        <v>0</v>
      </c>
      <c r="I41" s="4">
        <f t="shared" si="4"/>
        <v>0</v>
      </c>
      <c r="J41" s="4">
        <v>0</v>
      </c>
      <c r="K41" s="4">
        <f t="shared" si="5"/>
        <v>0</v>
      </c>
    </row>
    <row r="42" spans="2:11" ht="7.5" customHeight="1" x14ac:dyDescent="0.3">
      <c r="B42" s="16"/>
      <c r="D42" s="6"/>
      <c r="E42" s="4"/>
      <c r="F42" s="6"/>
      <c r="G42" s="4"/>
      <c r="H42" s="6"/>
      <c r="I42" s="4"/>
      <c r="J42" s="4"/>
      <c r="K42" s="4"/>
    </row>
    <row r="43" spans="2:11" ht="15" customHeight="1" x14ac:dyDescent="0.3">
      <c r="B43" s="16" t="s">
        <v>62</v>
      </c>
      <c r="C43" s="3" t="s">
        <v>63</v>
      </c>
      <c r="D43" s="6">
        <v>0</v>
      </c>
      <c r="E43" s="4">
        <f t="shared" si="0"/>
        <v>0</v>
      </c>
      <c r="F43" s="6">
        <v>0</v>
      </c>
      <c r="G43" s="4">
        <f t="shared" si="1"/>
        <v>0</v>
      </c>
      <c r="H43" s="6">
        <v>0</v>
      </c>
      <c r="I43" s="4">
        <f t="shared" si="4"/>
        <v>0</v>
      </c>
      <c r="J43" s="4">
        <v>0</v>
      </c>
      <c r="K43" s="4">
        <f t="shared" si="5"/>
        <v>0</v>
      </c>
    </row>
    <row r="44" spans="2:11" ht="15" customHeight="1" x14ac:dyDescent="0.3">
      <c r="B44" s="16" t="s">
        <v>64</v>
      </c>
      <c r="C44" s="3" t="s">
        <v>65</v>
      </c>
      <c r="D44" s="6">
        <v>0</v>
      </c>
      <c r="E44" s="4">
        <f t="shared" si="0"/>
        <v>0</v>
      </c>
      <c r="F44" s="6">
        <v>0</v>
      </c>
      <c r="G44" s="4">
        <f t="shared" si="1"/>
        <v>0</v>
      </c>
      <c r="H44" s="6">
        <v>0</v>
      </c>
      <c r="I44" s="4">
        <f t="shared" si="4"/>
        <v>0</v>
      </c>
      <c r="J44" s="4">
        <v>0</v>
      </c>
      <c r="K44" s="4">
        <f t="shared" si="5"/>
        <v>0</v>
      </c>
    </row>
    <row r="45" spans="2:11" ht="7.5" customHeight="1" x14ac:dyDescent="0.3">
      <c r="B45" s="16"/>
      <c r="D45" s="6"/>
      <c r="E45" s="4"/>
      <c r="F45" s="6"/>
      <c r="G45" s="4"/>
      <c r="H45" s="6"/>
      <c r="I45" s="4"/>
      <c r="J45" s="4"/>
      <c r="K45" s="4"/>
    </row>
    <row r="46" spans="2:11" ht="15" customHeight="1" x14ac:dyDescent="0.3">
      <c r="B46" s="16" t="s">
        <v>66</v>
      </c>
      <c r="C46" s="3" t="s">
        <v>67</v>
      </c>
      <c r="D46" s="6">
        <v>0</v>
      </c>
      <c r="E46" s="4">
        <f t="shared" si="0"/>
        <v>0</v>
      </c>
      <c r="F46" s="6">
        <v>0</v>
      </c>
      <c r="G46" s="4">
        <f t="shared" si="1"/>
        <v>0</v>
      </c>
      <c r="H46" s="6">
        <v>0</v>
      </c>
      <c r="I46" s="4">
        <f t="shared" si="4"/>
        <v>0</v>
      </c>
      <c r="J46" s="4">
        <v>0</v>
      </c>
      <c r="K46" s="4">
        <f t="shared" si="5"/>
        <v>0</v>
      </c>
    </row>
    <row r="47" spans="2:11" ht="15" customHeight="1" x14ac:dyDescent="0.3">
      <c r="B47" s="32" t="s">
        <v>68</v>
      </c>
      <c r="C47" s="33" t="s">
        <v>69</v>
      </c>
      <c r="D47" s="34">
        <v>0</v>
      </c>
      <c r="E47" s="35">
        <f t="shared" si="0"/>
        <v>0</v>
      </c>
      <c r="F47" s="34">
        <v>0</v>
      </c>
      <c r="G47" s="35">
        <f t="shared" si="1"/>
        <v>0</v>
      </c>
      <c r="H47" s="34">
        <v>0</v>
      </c>
      <c r="I47" s="35">
        <f t="shared" si="4"/>
        <v>0</v>
      </c>
      <c r="J47" s="35">
        <v>0</v>
      </c>
      <c r="K47" s="35">
        <f t="shared" si="5"/>
        <v>0</v>
      </c>
    </row>
    <row r="48" spans="2:11" ht="15" customHeight="1" x14ac:dyDescent="0.3">
      <c r="D48" s="6"/>
      <c r="E48"/>
      <c r="F48" s="6"/>
      <c r="G48"/>
      <c r="H48" s="6"/>
    </row>
    <row r="49" spans="2:11" ht="15" customHeight="1" x14ac:dyDescent="0.3">
      <c r="B49" s="36" t="str">
        <f>"="</f>
        <v>=</v>
      </c>
      <c r="C49" s="37" t="s">
        <v>70</v>
      </c>
      <c r="D49" s="38">
        <f>D35-D33</f>
        <v>-13600</v>
      </c>
      <c r="E49" s="39">
        <f t="shared" si="0"/>
        <v>-1.36</v>
      </c>
      <c r="F49" s="38">
        <f>F35-F33</f>
        <v>-33662</v>
      </c>
      <c r="G49" s="39">
        <f t="shared" si="1"/>
        <v>-4.4882666666666671</v>
      </c>
      <c r="H49" s="38">
        <f>H35-H33</f>
        <v>-44882.666666666664</v>
      </c>
      <c r="I49" s="39" t="str">
        <f>IFERROR(H49/#REF!,"n/a")</f>
        <v>n/a</v>
      </c>
      <c r="J49" s="38">
        <f>J35-J33</f>
        <v>-21928.85</v>
      </c>
      <c r="K49" s="39">
        <f>IFERROR(J49/$J$5,"n/a")</f>
        <v>-2.192885</v>
      </c>
    </row>
    <row r="50" spans="2:11" ht="15" customHeight="1" x14ac:dyDescent="0.3">
      <c r="D50"/>
      <c r="E50"/>
      <c r="F50"/>
      <c r="G50"/>
    </row>
    <row r="51" spans="2:11" ht="15" customHeight="1" x14ac:dyDescent="0.3">
      <c r="D51"/>
      <c r="E51"/>
      <c r="F51"/>
      <c r="G51"/>
    </row>
    <row r="52" spans="2:11" ht="15" customHeight="1" x14ac:dyDescent="0.3">
      <c r="D52"/>
      <c r="E52"/>
      <c r="F52"/>
      <c r="G52"/>
    </row>
    <row r="53" spans="2:11" ht="15" customHeight="1" x14ac:dyDescent="0.3">
      <c r="D53"/>
      <c r="E53"/>
      <c r="F53"/>
      <c r="G53"/>
    </row>
    <row r="54" spans="2:11" ht="15" customHeight="1" x14ac:dyDescent="0.3">
      <c r="D54"/>
      <c r="E54"/>
      <c r="F54"/>
      <c r="G54"/>
    </row>
    <row r="55" spans="2:11" ht="15" customHeight="1" x14ac:dyDescent="0.3">
      <c r="D55"/>
      <c r="E55"/>
      <c r="F55"/>
      <c r="G55"/>
    </row>
    <row r="56" spans="2:11" ht="15" customHeight="1" x14ac:dyDescent="0.3">
      <c r="D56"/>
      <c r="E56"/>
      <c r="F56"/>
      <c r="G56"/>
    </row>
    <row r="57" spans="2:11" ht="15" customHeight="1" x14ac:dyDescent="0.3">
      <c r="D57"/>
      <c r="E57"/>
      <c r="F57"/>
      <c r="G57"/>
    </row>
    <row r="58" spans="2:11" ht="15" customHeight="1" x14ac:dyDescent="0.3">
      <c r="D58"/>
      <c r="E58"/>
      <c r="F58"/>
      <c r="G58"/>
    </row>
    <row r="59" spans="2:11" ht="15" customHeight="1" x14ac:dyDescent="0.3">
      <c r="D59"/>
      <c r="E59"/>
      <c r="F59"/>
      <c r="G59"/>
    </row>
    <row r="60" spans="2:11" ht="15" customHeight="1" x14ac:dyDescent="0.3">
      <c r="D60"/>
      <c r="E60"/>
      <c r="F60"/>
      <c r="G60"/>
    </row>
    <row r="61" spans="2:11" ht="15" customHeight="1" x14ac:dyDescent="0.3">
      <c r="D61"/>
      <c r="E61"/>
      <c r="F61"/>
      <c r="G61"/>
    </row>
    <row r="62" spans="2:11" ht="15" customHeight="1" x14ac:dyDescent="0.3">
      <c r="D62"/>
      <c r="E62"/>
      <c r="F62"/>
      <c r="G62"/>
    </row>
    <row r="63" spans="2:11" ht="15" customHeight="1" x14ac:dyDescent="0.3">
      <c r="D63"/>
      <c r="E63"/>
      <c r="F63"/>
      <c r="G63"/>
    </row>
    <row r="64" spans="2:11" ht="15" customHeight="1" x14ac:dyDescent="0.3">
      <c r="D64"/>
      <c r="E64"/>
      <c r="F64"/>
      <c r="G64"/>
    </row>
    <row r="65" spans="4:7" ht="15" customHeight="1" x14ac:dyDescent="0.3">
      <c r="D65"/>
      <c r="E65"/>
      <c r="F65"/>
      <c r="G65"/>
    </row>
    <row r="66" spans="4:7" ht="15" customHeight="1" x14ac:dyDescent="0.3">
      <c r="D66"/>
      <c r="E66"/>
      <c r="F66"/>
      <c r="G66"/>
    </row>
  </sheetData>
  <mergeCells count="4">
    <mergeCell ref="H8:I8"/>
    <mergeCell ref="J8:K8"/>
    <mergeCell ref="D8:E8"/>
    <mergeCell ref="F8:G8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BC3F-4440-40C1-BC87-1197620B57B1}">
  <dimension ref="A1:H8"/>
  <sheetViews>
    <sheetView showGridLines="0" zoomScaleNormal="100" zoomScaleSheetLayoutView="160" workbookViewId="0">
      <selection activeCell="B5" sqref="B5:H8"/>
    </sheetView>
  </sheetViews>
  <sheetFormatPr defaultRowHeight="14.4" x14ac:dyDescent="0.3"/>
  <cols>
    <col min="2" max="2" width="46.6640625" bestFit="1" customWidth="1"/>
    <col min="3" max="3" width="8.6640625" style="7" customWidth="1"/>
    <col min="4" max="4" width="8.6640625" customWidth="1"/>
    <col min="5" max="5" width="8.6640625" style="7" customWidth="1"/>
    <col min="6" max="7" width="8.6640625" customWidth="1"/>
    <col min="8" max="8" width="9.88671875" bestFit="1" customWidth="1"/>
    <col min="9" max="9" width="1.44140625" customWidth="1"/>
  </cols>
  <sheetData>
    <row r="1" spans="1:8" ht="17.100000000000001" customHeight="1" x14ac:dyDescent="0.4">
      <c r="A1" s="3"/>
      <c r="B1" s="40" t="s">
        <v>127</v>
      </c>
    </row>
    <row r="2" spans="1:8" ht="15" customHeight="1" x14ac:dyDescent="0.3">
      <c r="A2" s="3"/>
    </row>
    <row r="3" spans="1:8" ht="17.100000000000001" customHeight="1" x14ac:dyDescent="0.3">
      <c r="A3" s="3"/>
      <c r="B3" s="9" t="s">
        <v>80</v>
      </c>
      <c r="C3" s="5"/>
      <c r="D3" s="3"/>
      <c r="E3" s="5"/>
      <c r="F3" s="8"/>
      <c r="G3" s="4"/>
      <c r="H3" s="4"/>
    </row>
    <row r="4" spans="1:8" ht="15" customHeight="1" x14ac:dyDescent="0.3">
      <c r="A4" s="3"/>
      <c r="B4" s="1"/>
      <c r="C4" s="2"/>
      <c r="D4" s="2"/>
      <c r="E4" s="2"/>
      <c r="F4" s="2" t="s">
        <v>71</v>
      </c>
      <c r="G4" s="2" t="s">
        <v>72</v>
      </c>
      <c r="H4" s="2" t="s">
        <v>2</v>
      </c>
    </row>
    <row r="5" spans="1:8" ht="15" customHeight="1" x14ac:dyDescent="0.3">
      <c r="A5" s="3"/>
      <c r="B5" s="3" t="s">
        <v>126</v>
      </c>
      <c r="C5" s="5"/>
      <c r="D5" s="3"/>
      <c r="E5" s="5" t="s">
        <v>74</v>
      </c>
      <c r="F5" s="41">
        <v>1.05</v>
      </c>
      <c r="G5" s="4">
        <v>11597</v>
      </c>
      <c r="H5" s="46">
        <f>G5*F5</f>
        <v>12176.85</v>
      </c>
    </row>
    <row r="6" spans="1:8" ht="15" customHeight="1" x14ac:dyDescent="0.3">
      <c r="A6" s="3"/>
      <c r="B6" s="3" t="s">
        <v>79</v>
      </c>
      <c r="C6" s="5"/>
      <c r="D6" s="3"/>
      <c r="E6" s="5"/>
      <c r="F6" s="41">
        <v>2</v>
      </c>
      <c r="G6" s="4">
        <v>1500</v>
      </c>
      <c r="H6" s="46">
        <f t="shared" ref="H6:H7" si="0">G6*F6</f>
        <v>3000</v>
      </c>
    </row>
    <row r="7" spans="1:8" ht="15" customHeight="1" x14ac:dyDescent="0.3">
      <c r="A7" s="3"/>
      <c r="B7" s="3" t="s">
        <v>284</v>
      </c>
      <c r="C7" s="5"/>
      <c r="D7" s="3"/>
      <c r="E7" s="5" t="s">
        <v>74</v>
      </c>
      <c r="F7" s="41">
        <v>1</v>
      </c>
      <c r="G7" s="4">
        <v>6752</v>
      </c>
      <c r="H7" s="46">
        <f t="shared" si="0"/>
        <v>6752</v>
      </c>
    </row>
    <row r="8" spans="1:8" ht="15" customHeight="1" x14ac:dyDescent="0.3">
      <c r="A8" s="3"/>
      <c r="B8" s="42" t="s">
        <v>73</v>
      </c>
      <c r="C8" s="43"/>
      <c r="D8" s="42"/>
      <c r="E8" s="43"/>
      <c r="F8" s="44"/>
      <c r="G8" s="45"/>
      <c r="H8" s="47">
        <f>SUM(H5:H7)</f>
        <v>21928.85</v>
      </c>
    </row>
  </sheetData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6983-B613-4FFF-9B7D-AAF2DE443561}">
  <dimension ref="B2:L66"/>
  <sheetViews>
    <sheetView showGridLines="0" view="pageBreakPreview" zoomScale="130" zoomScaleNormal="100" zoomScaleSheetLayoutView="130" workbookViewId="0">
      <selection activeCell="H26" sqref="H26"/>
    </sheetView>
  </sheetViews>
  <sheetFormatPr defaultRowHeight="15" customHeight="1" outlineLevelRow="1" x14ac:dyDescent="0.3"/>
  <cols>
    <col min="2" max="2" width="6.6640625" style="3" bestFit="1" customWidth="1"/>
    <col min="3" max="3" width="31.6640625" style="3" customWidth="1"/>
    <col min="4" max="7" width="8.6640625" style="3" customWidth="1"/>
    <col min="8" max="11" width="8.6640625" customWidth="1"/>
  </cols>
  <sheetData>
    <row r="2" spans="2:12" ht="25.8" x14ac:dyDescent="0.5">
      <c r="B2" s="12" t="s">
        <v>282</v>
      </c>
    </row>
    <row r="4" spans="2:12" ht="15" customHeight="1" x14ac:dyDescent="0.3">
      <c r="B4" s="13" t="s">
        <v>75</v>
      </c>
      <c r="C4" s="14"/>
      <c r="D4" s="14" t="s">
        <v>76</v>
      </c>
      <c r="E4" s="14"/>
      <c r="F4" s="14" t="s">
        <v>194</v>
      </c>
      <c r="G4" s="14"/>
      <c r="H4" s="15" t="s">
        <v>192</v>
      </c>
      <c r="J4" s="15" t="s">
        <v>190</v>
      </c>
    </row>
    <row r="5" spans="2:12" ht="15" customHeight="1" x14ac:dyDescent="0.3">
      <c r="B5" s="17" t="s">
        <v>77</v>
      </c>
      <c r="C5" s="18"/>
      <c r="D5" s="163">
        <v>5600</v>
      </c>
      <c r="E5" s="18"/>
      <c r="F5" s="18">
        <f>5600*3/4</f>
        <v>4200</v>
      </c>
      <c r="G5" s="18"/>
      <c r="H5" s="137">
        <f>F5*4/3</f>
        <v>5600</v>
      </c>
      <c r="I5" s="138"/>
      <c r="J5" s="48">
        <v>5600</v>
      </c>
      <c r="K5" s="138"/>
      <c r="L5" s="138"/>
    </row>
    <row r="6" spans="2:12" ht="15" customHeight="1" x14ac:dyDescent="0.3">
      <c r="H6" s="8"/>
    </row>
    <row r="7" spans="2:12" ht="17.100000000000001" customHeight="1" x14ac:dyDescent="0.3"/>
    <row r="8" spans="2:12" ht="15" customHeight="1" x14ac:dyDescent="0.3">
      <c r="B8" s="10"/>
      <c r="C8" s="11"/>
      <c r="D8" s="146" t="s">
        <v>1</v>
      </c>
      <c r="E8" s="146"/>
      <c r="F8" s="146" t="s">
        <v>188</v>
      </c>
      <c r="G8" s="146"/>
      <c r="H8" s="146" t="s">
        <v>195</v>
      </c>
      <c r="I8" s="146"/>
      <c r="J8" s="147" t="s">
        <v>191</v>
      </c>
      <c r="K8" s="147"/>
    </row>
    <row r="9" spans="2:12" ht="15" customHeight="1" x14ac:dyDescent="0.3">
      <c r="B9" s="10"/>
      <c r="C9" s="11"/>
      <c r="D9" s="11" t="s">
        <v>2</v>
      </c>
      <c r="E9" s="11" t="str">
        <f>"Kč/m"&amp;UPPER("3")</f>
        <v>Kč/m3</v>
      </c>
      <c r="F9" s="11" t="s">
        <v>2</v>
      </c>
      <c r="G9" s="11" t="str">
        <f>"Kč/m"&amp;UPPER("3")</f>
        <v>Kč/m3</v>
      </c>
      <c r="H9" s="11" t="s">
        <v>2</v>
      </c>
      <c r="I9" s="11" t="str">
        <f>"Kč/m"&amp;UPPER("3")</f>
        <v>Kč/m3</v>
      </c>
      <c r="J9" s="19" t="s">
        <v>2</v>
      </c>
      <c r="K9" s="19" t="str">
        <f>"Kč/m"&amp;UPPER("3")</f>
        <v>Kč/m3</v>
      </c>
    </row>
    <row r="10" spans="2:12" ht="15" customHeight="1" x14ac:dyDescent="0.3">
      <c r="B10" s="20" t="s">
        <v>3</v>
      </c>
      <c r="C10" s="21" t="s">
        <v>4</v>
      </c>
      <c r="D10" s="22">
        <f>SUM(D11:D13)</f>
        <v>0</v>
      </c>
      <c r="E10" s="23">
        <f>IFERROR(D10/$D$5,"n/a")</f>
        <v>0</v>
      </c>
      <c r="F10" s="22"/>
      <c r="G10" s="23">
        <f>IFERROR(F10/$F$5,"n/a")</f>
        <v>0</v>
      </c>
      <c r="H10" s="22">
        <f>SUM(H11:H13)</f>
        <v>0</v>
      </c>
      <c r="I10" s="23">
        <f>IFERROR(H10/$H$5,"n/a")</f>
        <v>0</v>
      </c>
      <c r="J10" s="22">
        <f>SUM(J11:J13)</f>
        <v>0</v>
      </c>
      <c r="K10" s="23">
        <f>IFERROR(J10/$J$5,"n/a")</f>
        <v>0</v>
      </c>
    </row>
    <row r="11" spans="2:12" ht="15" customHeight="1" x14ac:dyDescent="0.3">
      <c r="B11" s="16" t="s">
        <v>5</v>
      </c>
      <c r="C11" s="3" t="s">
        <v>78</v>
      </c>
      <c r="D11" s="6">
        <v>0</v>
      </c>
      <c r="E11" s="4">
        <f t="shared" ref="E11:E49" si="0">IFERROR(D11/$D$5,"n/a")</f>
        <v>0</v>
      </c>
      <c r="F11" s="6">
        <f>SUMIFS('skutečné náklady 25'!$J:$J,'skutečné náklady 25'!$F:$F,"Mochtín",'skutečné náklady 25'!$E:$E,"stočné",'skutečné náklady 25'!$L:$L,$B11)</f>
        <v>0</v>
      </c>
      <c r="G11" s="4">
        <f t="shared" ref="G11:G49" si="1">IFERROR(F11/$F$5,"n/a")</f>
        <v>0</v>
      </c>
      <c r="H11" s="6">
        <v>0</v>
      </c>
      <c r="I11" s="4">
        <f t="shared" ref="I11:I33" si="2">IFERROR(H11/$H$5,"n/a")</f>
        <v>0</v>
      </c>
      <c r="J11" s="6">
        <v>0</v>
      </c>
      <c r="K11" s="4">
        <f t="shared" ref="K11:K33" si="3">IFERROR(J11/$J$5,"n/a")</f>
        <v>0</v>
      </c>
    </row>
    <row r="12" spans="2:12" ht="15" customHeight="1" x14ac:dyDescent="0.3">
      <c r="B12" s="16" t="s">
        <v>6</v>
      </c>
      <c r="C12" s="3" t="s">
        <v>7</v>
      </c>
      <c r="D12" s="4">
        <v>0</v>
      </c>
      <c r="E12" s="4">
        <f t="shared" si="0"/>
        <v>0</v>
      </c>
      <c r="F12" s="6">
        <f>SUMIFS('skutečné náklady 25'!$J:$J,'skutečné náklady 25'!$F:$F,"Mochtín",'skutečné náklady 25'!$E:$E,"stočné",'skutečné náklady 25'!$L:$L,$B12)</f>
        <v>0</v>
      </c>
      <c r="G12" s="4">
        <f t="shared" si="1"/>
        <v>0</v>
      </c>
      <c r="H12" s="6">
        <v>0</v>
      </c>
      <c r="I12" s="4">
        <f t="shared" si="2"/>
        <v>0</v>
      </c>
      <c r="J12" s="4">
        <v>0</v>
      </c>
      <c r="K12" s="4">
        <f t="shared" si="3"/>
        <v>0</v>
      </c>
    </row>
    <row r="13" spans="2:12" ht="15" customHeight="1" x14ac:dyDescent="0.3">
      <c r="B13" s="16" t="s">
        <v>8</v>
      </c>
      <c r="C13" s="3" t="s">
        <v>9</v>
      </c>
      <c r="D13" s="4">
        <v>0</v>
      </c>
      <c r="E13" s="4">
        <f t="shared" si="0"/>
        <v>0</v>
      </c>
      <c r="F13" s="6">
        <f>SUMIFS('skutečné náklady 25'!$J:$J,'skutečné náklady 25'!$F:$F,"Mochtín",'skutečné náklady 25'!$E:$E,"stočné",'skutečné náklady 25'!$L:$L,$B13)</f>
        <v>0</v>
      </c>
      <c r="G13" s="4">
        <f t="shared" si="1"/>
        <v>0</v>
      </c>
      <c r="H13" s="6">
        <v>0</v>
      </c>
      <c r="I13" s="4">
        <f t="shared" si="2"/>
        <v>0</v>
      </c>
      <c r="J13" s="4">
        <v>0</v>
      </c>
      <c r="K13" s="4">
        <f t="shared" si="3"/>
        <v>0</v>
      </c>
    </row>
    <row r="14" spans="2:12" ht="15" customHeight="1" x14ac:dyDescent="0.3">
      <c r="B14" s="20" t="s">
        <v>10</v>
      </c>
      <c r="C14" s="21" t="s">
        <v>11</v>
      </c>
      <c r="D14" s="22">
        <f>SUM(D15:D16)</f>
        <v>0</v>
      </c>
      <c r="E14" s="23">
        <f t="shared" si="0"/>
        <v>0</v>
      </c>
      <c r="F14" s="22"/>
      <c r="G14" s="23">
        <f t="shared" si="1"/>
        <v>0</v>
      </c>
      <c r="H14" s="22">
        <f>SUM(H15:H16)</f>
        <v>0</v>
      </c>
      <c r="I14" s="23">
        <f t="shared" si="2"/>
        <v>0</v>
      </c>
      <c r="J14" s="22">
        <f>SUM(J15:J16)</f>
        <v>0</v>
      </c>
      <c r="K14" s="23">
        <f t="shared" si="3"/>
        <v>0</v>
      </c>
    </row>
    <row r="15" spans="2:12" ht="15" customHeight="1" x14ac:dyDescent="0.3">
      <c r="B15" s="16" t="s">
        <v>12</v>
      </c>
      <c r="C15" s="3" t="s">
        <v>13</v>
      </c>
      <c r="D15" s="6">
        <v>0</v>
      </c>
      <c r="E15" s="4">
        <f t="shared" si="0"/>
        <v>0</v>
      </c>
      <c r="F15" s="6">
        <f>SUMIFS('skutečné náklady 25'!$J:$J,'skutečné náklady 25'!$F:$F,"Mochtín",'skutečné náklady 25'!$E:$E,"stočné",'skutečné náklady 25'!$L:$L,$B15)</f>
        <v>0</v>
      </c>
      <c r="G15" s="4">
        <f t="shared" si="1"/>
        <v>0</v>
      </c>
      <c r="H15" s="6">
        <v>0</v>
      </c>
      <c r="I15" s="4">
        <f t="shared" si="2"/>
        <v>0</v>
      </c>
      <c r="J15" s="6">
        <v>0</v>
      </c>
      <c r="K15" s="4">
        <f t="shared" si="3"/>
        <v>0</v>
      </c>
    </row>
    <row r="16" spans="2:12" ht="15" customHeight="1" x14ac:dyDescent="0.3">
      <c r="B16" s="16" t="s">
        <v>14</v>
      </c>
      <c r="C16" s="3" t="s">
        <v>15</v>
      </c>
      <c r="D16" s="4">
        <v>0</v>
      </c>
      <c r="E16" s="4">
        <f t="shared" si="0"/>
        <v>0</v>
      </c>
      <c r="F16" s="6">
        <f>SUMIFS('skutečné náklady 25'!$J:$J,'skutečné náklady 25'!$F:$F,"Mochtín",'skutečné náklady 25'!$E:$E,"stočné",'skutečné náklady 25'!$L:$L,$B16)</f>
        <v>0</v>
      </c>
      <c r="G16" s="4">
        <f t="shared" si="1"/>
        <v>0</v>
      </c>
      <c r="H16" s="6">
        <v>0</v>
      </c>
      <c r="I16" s="4">
        <f t="shared" si="2"/>
        <v>0</v>
      </c>
      <c r="J16" s="4">
        <v>0</v>
      </c>
      <c r="K16" s="4">
        <f t="shared" si="3"/>
        <v>0</v>
      </c>
    </row>
    <row r="17" spans="2:11" ht="15" customHeight="1" x14ac:dyDescent="0.3">
      <c r="B17" s="20" t="s">
        <v>16</v>
      </c>
      <c r="C17" s="21" t="s">
        <v>17</v>
      </c>
      <c r="D17" s="22">
        <f>SUM(D18:D19)</f>
        <v>0</v>
      </c>
      <c r="E17" s="23">
        <f t="shared" si="0"/>
        <v>0</v>
      </c>
      <c r="F17" s="22"/>
      <c r="G17" s="23">
        <f t="shared" si="1"/>
        <v>0</v>
      </c>
      <c r="H17" s="22">
        <f>SUM(H18:H19)</f>
        <v>0</v>
      </c>
      <c r="I17" s="23">
        <f t="shared" si="2"/>
        <v>0</v>
      </c>
      <c r="J17" s="22">
        <f>SUM(J18:J19)</f>
        <v>0</v>
      </c>
      <c r="K17" s="23">
        <f t="shared" si="3"/>
        <v>0</v>
      </c>
    </row>
    <row r="18" spans="2:11" ht="15" customHeight="1" x14ac:dyDescent="0.3">
      <c r="B18" s="16" t="s">
        <v>18</v>
      </c>
      <c r="C18" s="3" t="s">
        <v>19</v>
      </c>
      <c r="D18" s="6">
        <v>0</v>
      </c>
      <c r="E18" s="4">
        <f t="shared" si="0"/>
        <v>0</v>
      </c>
      <c r="F18" s="6">
        <f>SUMIFS('skutečné náklady 25'!$J:$J,'skutečné náklady 25'!$F:$F,"Mochtín",'skutečné náklady 25'!$E:$E,"stočné",'skutečné náklady 25'!$L:$L,$B18)</f>
        <v>0</v>
      </c>
      <c r="G18" s="4">
        <f t="shared" si="1"/>
        <v>0</v>
      </c>
      <c r="H18" s="6">
        <v>0</v>
      </c>
      <c r="I18" s="4">
        <f t="shared" si="2"/>
        <v>0</v>
      </c>
      <c r="J18" s="6">
        <v>0</v>
      </c>
      <c r="K18" s="4">
        <f t="shared" si="3"/>
        <v>0</v>
      </c>
    </row>
    <row r="19" spans="2:11" ht="15" customHeight="1" x14ac:dyDescent="0.3">
      <c r="B19" s="16" t="s">
        <v>20</v>
      </c>
      <c r="C19" s="3" t="s">
        <v>21</v>
      </c>
      <c r="D19" s="6">
        <v>0</v>
      </c>
      <c r="E19" s="4">
        <f t="shared" si="0"/>
        <v>0</v>
      </c>
      <c r="F19" s="6">
        <f>SUMIFS('skutečné náklady 25'!$J:$J,'skutečné náklady 25'!$F:$F,"Mochtín",'skutečné náklady 25'!$E:$E,"stočné",'skutečné náklady 25'!$L:$L,$B19)</f>
        <v>0</v>
      </c>
      <c r="G19" s="4">
        <f t="shared" si="1"/>
        <v>0</v>
      </c>
      <c r="H19" s="6">
        <v>0</v>
      </c>
      <c r="I19" s="4">
        <f t="shared" si="2"/>
        <v>0</v>
      </c>
      <c r="J19" s="6">
        <v>0</v>
      </c>
      <c r="K19" s="4">
        <f t="shared" si="3"/>
        <v>0</v>
      </c>
    </row>
    <row r="20" spans="2:11" ht="15" customHeight="1" x14ac:dyDescent="0.3">
      <c r="B20" s="20" t="s">
        <v>22</v>
      </c>
      <c r="C20" s="21" t="s">
        <v>23</v>
      </c>
      <c r="D20" s="22">
        <f>SUM(D21:D23,D24)</f>
        <v>0</v>
      </c>
      <c r="E20" s="23">
        <f t="shared" si="0"/>
        <v>0</v>
      </c>
      <c r="F20" s="22"/>
      <c r="G20" s="23">
        <f t="shared" si="1"/>
        <v>0</v>
      </c>
      <c r="H20" s="22">
        <f>SUM(H21:H23,H24)</f>
        <v>0</v>
      </c>
      <c r="I20" s="23">
        <f t="shared" si="2"/>
        <v>0</v>
      </c>
      <c r="J20" s="22">
        <f>SUM(J21:J23,J24)</f>
        <v>0</v>
      </c>
      <c r="K20" s="23">
        <f t="shared" si="3"/>
        <v>0</v>
      </c>
    </row>
    <row r="21" spans="2:11" ht="15" customHeight="1" x14ac:dyDescent="0.3">
      <c r="B21" s="16" t="s">
        <v>24</v>
      </c>
      <c r="C21" s="3" t="s">
        <v>25</v>
      </c>
      <c r="D21" s="4">
        <v>0</v>
      </c>
      <c r="E21" s="4">
        <f t="shared" si="0"/>
        <v>0</v>
      </c>
      <c r="F21" s="6">
        <f>SUMIFS('skutečné náklady 25'!$J:$J,'skutečné náklady 25'!$F:$F,"Mochtín",'skutečné náklady 25'!$E:$E,"stočné",'skutečné náklady 25'!$L:$L,$B21)</f>
        <v>0</v>
      </c>
      <c r="G21" s="4">
        <f t="shared" si="1"/>
        <v>0</v>
      </c>
      <c r="H21" s="6">
        <v>0</v>
      </c>
      <c r="I21" s="4">
        <f t="shared" si="2"/>
        <v>0</v>
      </c>
      <c r="J21" s="4">
        <v>0</v>
      </c>
      <c r="K21" s="4">
        <f t="shared" si="3"/>
        <v>0</v>
      </c>
    </row>
    <row r="22" spans="2:11" ht="15" customHeight="1" x14ac:dyDescent="0.3">
      <c r="B22" s="16" t="s">
        <v>26</v>
      </c>
      <c r="C22" s="3" t="s">
        <v>27</v>
      </c>
      <c r="D22" s="4">
        <v>0</v>
      </c>
      <c r="E22" s="4">
        <f t="shared" si="0"/>
        <v>0</v>
      </c>
      <c r="F22" s="6">
        <f>SUMIFS('skutečné náklady 25'!$J:$J,'skutečné náklady 25'!$F:$F,"Mochtín",'skutečné náklady 25'!$E:$E,"stočné",'skutečné náklady 25'!$L:$L,$B22)</f>
        <v>0</v>
      </c>
      <c r="G22" s="4">
        <f t="shared" si="1"/>
        <v>0</v>
      </c>
      <c r="H22" s="6">
        <v>0</v>
      </c>
      <c r="I22" s="4">
        <f t="shared" si="2"/>
        <v>0</v>
      </c>
      <c r="J22" s="4">
        <v>0</v>
      </c>
      <c r="K22" s="4">
        <f t="shared" si="3"/>
        <v>0</v>
      </c>
    </row>
    <row r="23" spans="2:11" ht="15" customHeight="1" x14ac:dyDescent="0.3">
      <c r="B23" s="16" t="s">
        <v>28</v>
      </c>
      <c r="C23" s="3" t="s">
        <v>29</v>
      </c>
      <c r="D23" s="6">
        <v>0</v>
      </c>
      <c r="E23" s="4">
        <f t="shared" si="0"/>
        <v>0</v>
      </c>
      <c r="F23" s="6">
        <f>SUMIFS('skutečné náklady 25'!$J:$J,'skutečné náklady 25'!$F:$F,"Mochtín",'skutečné náklady 25'!$E:$E,"stočné",'skutečné náklady 25'!$L:$L,$B23)</f>
        <v>0</v>
      </c>
      <c r="G23" s="4">
        <f t="shared" si="1"/>
        <v>0</v>
      </c>
      <c r="H23" s="6">
        <v>0</v>
      </c>
      <c r="I23" s="4">
        <f t="shared" si="2"/>
        <v>0</v>
      </c>
      <c r="J23" s="6">
        <v>0</v>
      </c>
      <c r="K23" s="4">
        <f t="shared" si="3"/>
        <v>0</v>
      </c>
    </row>
    <row r="24" spans="2:11" ht="15" customHeight="1" x14ac:dyDescent="0.3">
      <c r="B24" s="16" t="s">
        <v>30</v>
      </c>
      <c r="C24" s="3" t="s">
        <v>31</v>
      </c>
      <c r="D24" s="4">
        <v>0</v>
      </c>
      <c r="E24" s="4">
        <f t="shared" si="0"/>
        <v>0</v>
      </c>
      <c r="F24" s="6">
        <f>SUMIFS('skutečné náklady 25'!$J:$J,'skutečné náklady 25'!$F:$F,"Mochtín",'skutečné náklady 25'!$E:$E,"stočné",'skutečné náklady 25'!$L:$L,$B24)</f>
        <v>0</v>
      </c>
      <c r="G24" s="4">
        <f t="shared" si="1"/>
        <v>0</v>
      </c>
      <c r="H24" s="6">
        <v>0</v>
      </c>
      <c r="I24" s="4">
        <f t="shared" si="2"/>
        <v>0</v>
      </c>
      <c r="J24" s="4">
        <v>0</v>
      </c>
      <c r="K24" s="4">
        <f t="shared" si="3"/>
        <v>0</v>
      </c>
    </row>
    <row r="25" spans="2:11" ht="15" customHeight="1" x14ac:dyDescent="0.3">
      <c r="B25" s="20" t="s">
        <v>32</v>
      </c>
      <c r="C25" s="21" t="s">
        <v>33</v>
      </c>
      <c r="D25" s="22">
        <f>SUM(D26:D26,D27)</f>
        <v>14960</v>
      </c>
      <c r="E25" s="23">
        <f t="shared" si="0"/>
        <v>2.6714285714285713</v>
      </c>
      <c r="F25" s="22">
        <f>SUM(F26:F26,F27)</f>
        <v>33662</v>
      </c>
      <c r="G25" s="23">
        <f t="shared" si="1"/>
        <v>8.0147619047619045</v>
      </c>
      <c r="H25" s="22">
        <f>SUM(H26:H26,H27)</f>
        <v>44882.666666666664</v>
      </c>
      <c r="I25" s="23">
        <f t="shared" si="2"/>
        <v>8.0147619047619045</v>
      </c>
      <c r="J25" s="22">
        <f>SUM(J26:J26,J27)</f>
        <v>23360</v>
      </c>
      <c r="K25" s="23">
        <f t="shared" si="3"/>
        <v>4.1714285714285717</v>
      </c>
    </row>
    <row r="26" spans="2:11" ht="15" customHeight="1" x14ac:dyDescent="0.3">
      <c r="B26" s="16" t="s">
        <v>34</v>
      </c>
      <c r="C26" s="3" t="s">
        <v>35</v>
      </c>
      <c r="D26" s="6">
        <v>14960</v>
      </c>
      <c r="E26" s="4">
        <f t="shared" si="0"/>
        <v>2.6714285714285713</v>
      </c>
      <c r="F26" s="6">
        <f>SUMIFS('skutečné náklady 25'!$J:$J,'skutečné náklady 25'!$F:$F,"Mochtín",'skutečné náklady 25'!$E:$E,"stočné",'skutečné náklady 25'!$L:$L,$B26)</f>
        <v>33662</v>
      </c>
      <c r="G26" s="4">
        <f t="shared" si="1"/>
        <v>8.0147619047619045</v>
      </c>
      <c r="H26" s="6">
        <f>F26*4/3</f>
        <v>44882.666666666664</v>
      </c>
      <c r="I26" s="4">
        <f t="shared" si="2"/>
        <v>8.0147619047619045</v>
      </c>
      <c r="J26" s="6">
        <f>'Předpoklady Srbice Hosticky'!H8</f>
        <v>23360</v>
      </c>
      <c r="K26" s="4">
        <f t="shared" si="3"/>
        <v>4.1714285714285717</v>
      </c>
    </row>
    <row r="27" spans="2:11" ht="15" customHeight="1" x14ac:dyDescent="0.3">
      <c r="B27" s="16" t="s">
        <v>36</v>
      </c>
      <c r="C27" s="3" t="s">
        <v>37</v>
      </c>
      <c r="D27" s="6">
        <v>0</v>
      </c>
      <c r="E27" s="4">
        <f t="shared" si="0"/>
        <v>0</v>
      </c>
      <c r="F27" s="6">
        <f>SUMIFS('skutečné náklady 25'!$J:$J,'skutečné náklady 25'!$F:$F,"Mochtín",'skutečné náklady 25'!$E:$E,"stočné",'skutečné náklady 25'!$L:$L,$B27)</f>
        <v>0</v>
      </c>
      <c r="G27" s="4">
        <f t="shared" si="1"/>
        <v>0</v>
      </c>
      <c r="H27" s="6">
        <v>0</v>
      </c>
      <c r="I27" s="4">
        <f t="shared" si="2"/>
        <v>0</v>
      </c>
      <c r="J27" s="6">
        <v>0</v>
      </c>
      <c r="K27" s="4">
        <f t="shared" si="3"/>
        <v>0</v>
      </c>
    </row>
    <row r="28" spans="2:11" ht="15" customHeight="1" x14ac:dyDescent="0.3">
      <c r="B28" s="20" t="s">
        <v>38</v>
      </c>
      <c r="C28" s="21" t="s">
        <v>39</v>
      </c>
      <c r="D28" s="23">
        <v>0</v>
      </c>
      <c r="E28" s="23">
        <f t="shared" si="0"/>
        <v>0</v>
      </c>
      <c r="F28" s="22"/>
      <c r="G28" s="23">
        <f t="shared" si="1"/>
        <v>0</v>
      </c>
      <c r="H28" s="22">
        <f>SUMIFS('skutečné náklady 23'!$F:$F,'skutečné náklady 23'!$G:$G,"Kocourov",'skutečné náklady 23'!$H:$H,$B28)</f>
        <v>0</v>
      </c>
      <c r="I28" s="23">
        <f t="shared" si="2"/>
        <v>0</v>
      </c>
      <c r="J28" s="23">
        <v>0</v>
      </c>
      <c r="K28" s="23">
        <f t="shared" si="3"/>
        <v>0</v>
      </c>
    </row>
    <row r="29" spans="2:11" ht="15" customHeight="1" x14ac:dyDescent="0.3">
      <c r="B29" s="20" t="s">
        <v>40</v>
      </c>
      <c r="C29" s="21" t="s">
        <v>41</v>
      </c>
      <c r="D29" s="23">
        <v>0</v>
      </c>
      <c r="E29" s="23">
        <f t="shared" si="0"/>
        <v>0</v>
      </c>
      <c r="F29" s="22"/>
      <c r="G29" s="23">
        <f t="shared" si="1"/>
        <v>0</v>
      </c>
      <c r="H29" s="22">
        <f>SUMIFS('skutečné náklady 23'!$F:$F,'skutečné náklady 23'!$G:$G,"Kocourov",'skutečné náklady 23'!$H:$H,$B29)</f>
        <v>0</v>
      </c>
      <c r="I29" s="23">
        <f t="shared" si="2"/>
        <v>0</v>
      </c>
      <c r="J29" s="23">
        <v>0</v>
      </c>
      <c r="K29" s="23">
        <f t="shared" si="3"/>
        <v>0</v>
      </c>
    </row>
    <row r="30" spans="2:11" ht="15" customHeight="1" x14ac:dyDescent="0.3">
      <c r="B30" s="20" t="s">
        <v>42</v>
      </c>
      <c r="C30" s="21" t="s">
        <v>43</v>
      </c>
      <c r="D30" s="22">
        <v>0</v>
      </c>
      <c r="E30" s="23">
        <f t="shared" si="0"/>
        <v>0</v>
      </c>
      <c r="F30" s="22"/>
      <c r="G30" s="23">
        <f t="shared" si="1"/>
        <v>0</v>
      </c>
      <c r="H30" s="22">
        <f>SUMIFS('skutečné náklady 23'!$F:$F,'skutečné náklady 23'!$G:$G,"Kocourov",'skutečné náklady 23'!$H:$H,$B30)</f>
        <v>0</v>
      </c>
      <c r="I30" s="23">
        <f t="shared" si="2"/>
        <v>0</v>
      </c>
      <c r="J30" s="22">
        <v>0</v>
      </c>
      <c r="K30" s="23">
        <f>IFERROR(J30/$J$5,"n/a")</f>
        <v>0</v>
      </c>
    </row>
    <row r="31" spans="2:11" ht="15" customHeight="1" x14ac:dyDescent="0.3">
      <c r="B31" s="20" t="s">
        <v>44</v>
      </c>
      <c r="C31" s="21" t="s">
        <v>45</v>
      </c>
      <c r="D31" s="22">
        <v>0</v>
      </c>
      <c r="E31" s="23">
        <f t="shared" si="0"/>
        <v>0</v>
      </c>
      <c r="F31" s="22"/>
      <c r="G31" s="23">
        <f t="shared" si="1"/>
        <v>0</v>
      </c>
      <c r="H31" s="22">
        <f>SUMIFS('skutečné náklady 23'!$F:$F,'skutečné náklady 23'!$G:$G,"Kocourov",'skutečné náklady 23'!$H:$H,$B31)</f>
        <v>0</v>
      </c>
      <c r="I31" s="23">
        <f t="shared" si="2"/>
        <v>0</v>
      </c>
      <c r="J31" s="22">
        <v>0</v>
      </c>
      <c r="K31" s="23">
        <f t="shared" si="3"/>
        <v>0</v>
      </c>
    </row>
    <row r="32" spans="2:11" ht="15" customHeight="1" outlineLevel="1" x14ac:dyDescent="0.3">
      <c r="B32" s="16" t="s">
        <v>46</v>
      </c>
      <c r="C32" s="3" t="s">
        <v>47</v>
      </c>
      <c r="D32" s="6">
        <v>0</v>
      </c>
      <c r="E32" s="4">
        <f t="shared" si="0"/>
        <v>0</v>
      </c>
      <c r="F32" s="6"/>
      <c r="G32" s="4">
        <f t="shared" si="1"/>
        <v>0</v>
      </c>
      <c r="H32" s="6">
        <f>SUMIFS('skutečné náklady 23'!$F:$F,'skutečné náklady 23'!$G:$G,"Kocourov",'skutečné náklady 23'!$H:$H,$B32)</f>
        <v>0</v>
      </c>
      <c r="I32" s="4">
        <f t="shared" si="2"/>
        <v>0</v>
      </c>
      <c r="J32" s="6">
        <v>0</v>
      </c>
      <c r="K32" s="4">
        <f t="shared" si="3"/>
        <v>0</v>
      </c>
    </row>
    <row r="33" spans="2:11" ht="15" customHeight="1" x14ac:dyDescent="0.3">
      <c r="B33" s="24" t="s">
        <v>48</v>
      </c>
      <c r="C33" s="25" t="s">
        <v>49</v>
      </c>
      <c r="D33" s="26">
        <f>SUM(D10,D14,D17,D20,D25,D28:D30,D31)</f>
        <v>14960</v>
      </c>
      <c r="E33" s="27">
        <f t="shared" si="0"/>
        <v>2.6714285714285713</v>
      </c>
      <c r="F33" s="26">
        <f>SUM(F10,F14,F17,F20,F25,F28:F30,F31)</f>
        <v>33662</v>
      </c>
      <c r="G33" s="27">
        <f t="shared" si="1"/>
        <v>8.0147619047619045</v>
      </c>
      <c r="H33" s="26">
        <f>SUM(H10,H14,H17,H20,H25,H28:H30,H31)</f>
        <v>44882.666666666664</v>
      </c>
      <c r="I33" s="27">
        <f t="shared" si="2"/>
        <v>8.0147619047619045</v>
      </c>
      <c r="J33" s="26">
        <f>SUM(J10,J14,J17,J20,J25,J28:J30,J31)</f>
        <v>23360</v>
      </c>
      <c r="K33" s="27">
        <f t="shared" si="3"/>
        <v>4.1714285714285717</v>
      </c>
    </row>
    <row r="34" spans="2:11" ht="15" customHeight="1" x14ac:dyDescent="0.3">
      <c r="E34"/>
      <c r="F34" s="6"/>
      <c r="G34"/>
      <c r="H34" s="6"/>
    </row>
    <row r="35" spans="2:11" ht="15" customHeight="1" x14ac:dyDescent="0.3">
      <c r="B35" s="28" t="s">
        <v>50</v>
      </c>
      <c r="C35" s="29" t="s">
        <v>51</v>
      </c>
      <c r="D35" s="30">
        <f>SUM(D36:D38,D40:D41,D43:D44,D46:D47)</f>
        <v>0</v>
      </c>
      <c r="E35" s="31">
        <f t="shared" si="0"/>
        <v>0</v>
      </c>
      <c r="F35" s="30"/>
      <c r="G35" s="31">
        <f t="shared" si="1"/>
        <v>0</v>
      </c>
      <c r="H35" s="30">
        <f>SUM(H36:H38,H40:H41,H43:H44,H46:H47)</f>
        <v>0</v>
      </c>
      <c r="I35" s="31">
        <f t="shared" ref="I35:I47" si="4">IFERROR(H35/$H$5,"n/a")</f>
        <v>0</v>
      </c>
      <c r="J35" s="30">
        <f>SUM(J36:J38,J40:J41,J43:J44,J46:J47)</f>
        <v>0</v>
      </c>
      <c r="K35" s="31">
        <f t="shared" ref="K35:K47" si="5">IFERROR(J35/$J$5,"n/a")</f>
        <v>0</v>
      </c>
    </row>
    <row r="36" spans="2:11" ht="15" customHeight="1" x14ac:dyDescent="0.3">
      <c r="B36" s="16" t="s">
        <v>52</v>
      </c>
      <c r="C36" s="3" t="s">
        <v>53</v>
      </c>
      <c r="D36" s="4">
        <v>0</v>
      </c>
      <c r="E36" s="4">
        <f t="shared" si="0"/>
        <v>0</v>
      </c>
      <c r="F36" s="6"/>
      <c r="G36" s="4">
        <f t="shared" si="1"/>
        <v>0</v>
      </c>
      <c r="H36" s="6">
        <v>0</v>
      </c>
      <c r="I36" s="4">
        <f t="shared" si="4"/>
        <v>0</v>
      </c>
      <c r="J36" s="4">
        <v>0</v>
      </c>
      <c r="K36" s="4">
        <f t="shared" si="5"/>
        <v>0</v>
      </c>
    </row>
    <row r="37" spans="2:11" ht="15" customHeight="1" x14ac:dyDescent="0.3">
      <c r="B37" s="16" t="s">
        <v>54</v>
      </c>
      <c r="C37" s="3" t="s">
        <v>55</v>
      </c>
      <c r="D37" s="6">
        <v>0</v>
      </c>
      <c r="E37" s="4">
        <f t="shared" si="0"/>
        <v>0</v>
      </c>
      <c r="F37" s="6"/>
      <c r="G37" s="4">
        <f t="shared" si="1"/>
        <v>0</v>
      </c>
      <c r="H37" s="6">
        <v>0</v>
      </c>
      <c r="I37" s="4">
        <f t="shared" si="4"/>
        <v>0</v>
      </c>
      <c r="J37" s="6">
        <v>0</v>
      </c>
      <c r="K37" s="4">
        <v>0</v>
      </c>
    </row>
    <row r="38" spans="2:11" ht="15" customHeight="1" x14ac:dyDescent="0.3">
      <c r="B38" s="16" t="s">
        <v>56</v>
      </c>
      <c r="C38" s="3" t="s">
        <v>57</v>
      </c>
      <c r="D38" s="4">
        <v>0</v>
      </c>
      <c r="E38" s="4">
        <f t="shared" si="0"/>
        <v>0</v>
      </c>
      <c r="F38" s="6"/>
      <c r="G38" s="4">
        <f t="shared" si="1"/>
        <v>0</v>
      </c>
      <c r="H38" s="6">
        <v>0</v>
      </c>
      <c r="I38" s="4">
        <f t="shared" si="4"/>
        <v>0</v>
      </c>
      <c r="J38" s="4">
        <v>0</v>
      </c>
      <c r="K38" s="4">
        <f t="shared" si="5"/>
        <v>0</v>
      </c>
    </row>
    <row r="39" spans="2:11" ht="7.5" customHeight="1" x14ac:dyDescent="0.3">
      <c r="B39" s="16"/>
      <c r="D39" s="4"/>
      <c r="E39" s="4"/>
      <c r="F39" s="6"/>
      <c r="G39" s="4">
        <f t="shared" si="1"/>
        <v>0</v>
      </c>
      <c r="H39" s="6"/>
      <c r="I39" s="4"/>
      <c r="J39" s="4"/>
      <c r="K39" s="4"/>
    </row>
    <row r="40" spans="2:11" ht="15" customHeight="1" x14ac:dyDescent="0.3">
      <c r="B40" s="16" t="s">
        <v>58</v>
      </c>
      <c r="C40" s="3" t="s">
        <v>59</v>
      </c>
      <c r="D40" s="4">
        <v>0</v>
      </c>
      <c r="E40" s="4">
        <f t="shared" si="0"/>
        <v>0</v>
      </c>
      <c r="F40" s="6"/>
      <c r="G40" s="4">
        <f t="shared" si="1"/>
        <v>0</v>
      </c>
      <c r="H40" s="6">
        <v>0</v>
      </c>
      <c r="I40" s="4">
        <f t="shared" si="4"/>
        <v>0</v>
      </c>
      <c r="J40" s="4">
        <v>0</v>
      </c>
      <c r="K40" s="4">
        <f t="shared" si="5"/>
        <v>0</v>
      </c>
    </row>
    <row r="41" spans="2:11" ht="15" customHeight="1" x14ac:dyDescent="0.3">
      <c r="B41" s="16" t="s">
        <v>60</v>
      </c>
      <c r="C41" s="3" t="s">
        <v>61</v>
      </c>
      <c r="D41" s="4">
        <v>0</v>
      </c>
      <c r="E41" s="4">
        <f t="shared" si="0"/>
        <v>0</v>
      </c>
      <c r="F41" s="6"/>
      <c r="G41" s="4">
        <f t="shared" si="1"/>
        <v>0</v>
      </c>
      <c r="H41" s="6">
        <v>0</v>
      </c>
      <c r="I41" s="4">
        <f t="shared" si="4"/>
        <v>0</v>
      </c>
      <c r="J41" s="4">
        <v>0</v>
      </c>
      <c r="K41" s="4">
        <f t="shared" si="5"/>
        <v>0</v>
      </c>
    </row>
    <row r="42" spans="2:11" ht="7.5" customHeight="1" x14ac:dyDescent="0.3">
      <c r="B42" s="16"/>
      <c r="D42" s="4"/>
      <c r="E42" s="4"/>
      <c r="F42" s="6"/>
      <c r="G42" s="4">
        <f t="shared" si="1"/>
        <v>0</v>
      </c>
      <c r="H42" s="6"/>
      <c r="I42" s="4"/>
      <c r="J42" s="4"/>
      <c r="K42" s="4"/>
    </row>
    <row r="43" spans="2:11" ht="15" customHeight="1" x14ac:dyDescent="0.3">
      <c r="B43" s="16" t="s">
        <v>62</v>
      </c>
      <c r="C43" s="3" t="s">
        <v>63</v>
      </c>
      <c r="D43" s="4">
        <v>0</v>
      </c>
      <c r="E43" s="4">
        <f t="shared" si="0"/>
        <v>0</v>
      </c>
      <c r="F43" s="6"/>
      <c r="G43" s="4">
        <f t="shared" si="1"/>
        <v>0</v>
      </c>
      <c r="H43" s="6">
        <v>0</v>
      </c>
      <c r="I43" s="4">
        <f t="shared" si="4"/>
        <v>0</v>
      </c>
      <c r="J43" s="4">
        <v>0</v>
      </c>
      <c r="K43" s="4">
        <f t="shared" si="5"/>
        <v>0</v>
      </c>
    </row>
    <row r="44" spans="2:11" ht="15" customHeight="1" x14ac:dyDescent="0.3">
      <c r="B44" s="16" t="s">
        <v>64</v>
      </c>
      <c r="C44" s="3" t="s">
        <v>65</v>
      </c>
      <c r="D44" s="4">
        <v>0</v>
      </c>
      <c r="E44" s="4">
        <f t="shared" si="0"/>
        <v>0</v>
      </c>
      <c r="F44" s="6"/>
      <c r="G44" s="4">
        <f t="shared" si="1"/>
        <v>0</v>
      </c>
      <c r="H44" s="6">
        <v>0</v>
      </c>
      <c r="I44" s="4">
        <f t="shared" si="4"/>
        <v>0</v>
      </c>
      <c r="J44" s="4">
        <v>0</v>
      </c>
      <c r="K44" s="4">
        <f t="shared" si="5"/>
        <v>0</v>
      </c>
    </row>
    <row r="45" spans="2:11" ht="7.5" customHeight="1" x14ac:dyDescent="0.3">
      <c r="B45" s="16"/>
      <c r="D45" s="4"/>
      <c r="E45" s="4"/>
      <c r="F45" s="6"/>
      <c r="G45" s="4">
        <f t="shared" si="1"/>
        <v>0</v>
      </c>
      <c r="H45" s="6"/>
      <c r="I45" s="4"/>
      <c r="J45" s="4"/>
      <c r="K45" s="4"/>
    </row>
    <row r="46" spans="2:11" ht="15" customHeight="1" x14ac:dyDescent="0.3">
      <c r="B46" s="16" t="s">
        <v>66</v>
      </c>
      <c r="C46" s="3" t="s">
        <v>67</v>
      </c>
      <c r="D46" s="4">
        <v>0</v>
      </c>
      <c r="E46" s="4">
        <f t="shared" si="0"/>
        <v>0</v>
      </c>
      <c r="F46" s="6"/>
      <c r="G46" s="4">
        <f t="shared" si="1"/>
        <v>0</v>
      </c>
      <c r="H46" s="6">
        <v>0</v>
      </c>
      <c r="I46" s="4">
        <f t="shared" si="4"/>
        <v>0</v>
      </c>
      <c r="J46" s="4">
        <v>0</v>
      </c>
      <c r="K46" s="4">
        <f t="shared" si="5"/>
        <v>0</v>
      </c>
    </row>
    <row r="47" spans="2:11" ht="15" customHeight="1" x14ac:dyDescent="0.3">
      <c r="B47" s="32" t="s">
        <v>68</v>
      </c>
      <c r="C47" s="33" t="s">
        <v>69</v>
      </c>
      <c r="D47" s="35">
        <v>0</v>
      </c>
      <c r="E47" s="35">
        <f t="shared" si="0"/>
        <v>0</v>
      </c>
      <c r="F47" s="34"/>
      <c r="G47" s="35">
        <f t="shared" si="1"/>
        <v>0</v>
      </c>
      <c r="H47" s="34">
        <v>0</v>
      </c>
      <c r="I47" s="35">
        <f t="shared" si="4"/>
        <v>0</v>
      </c>
      <c r="J47" s="35">
        <v>0</v>
      </c>
      <c r="K47" s="35">
        <f t="shared" si="5"/>
        <v>0</v>
      </c>
    </row>
    <row r="48" spans="2:11" ht="15" customHeight="1" x14ac:dyDescent="0.3">
      <c r="E48"/>
      <c r="F48" s="6"/>
      <c r="G48"/>
      <c r="H48" s="6"/>
    </row>
    <row r="49" spans="2:11" ht="15" customHeight="1" x14ac:dyDescent="0.3">
      <c r="B49" s="36" t="str">
        <f>"="</f>
        <v>=</v>
      </c>
      <c r="C49" s="37" t="s">
        <v>70</v>
      </c>
      <c r="D49" s="38">
        <f>D35-D33</f>
        <v>-14960</v>
      </c>
      <c r="E49" s="39">
        <f t="shared" si="0"/>
        <v>-2.6714285714285713</v>
      </c>
      <c r="F49" s="38">
        <f>F35-F33</f>
        <v>-33662</v>
      </c>
      <c r="G49" s="39">
        <f t="shared" si="1"/>
        <v>-8.0147619047619045</v>
      </c>
      <c r="H49" s="38">
        <f>H35-H33</f>
        <v>-44882.666666666664</v>
      </c>
      <c r="I49" s="39" t="str">
        <f>IFERROR(H49/#REF!,"n/a")</f>
        <v>n/a</v>
      </c>
      <c r="J49" s="38">
        <f>J35-J33</f>
        <v>-23360</v>
      </c>
      <c r="K49" s="39">
        <f>IFERROR(J49/$J$5,"n/a")</f>
        <v>-4.1714285714285717</v>
      </c>
    </row>
    <row r="50" spans="2:11" ht="15" customHeight="1" x14ac:dyDescent="0.3">
      <c r="F50"/>
      <c r="G50"/>
    </row>
    <row r="51" spans="2:11" ht="15" customHeight="1" x14ac:dyDescent="0.3">
      <c r="F51"/>
      <c r="G51"/>
    </row>
    <row r="52" spans="2:11" ht="15" customHeight="1" x14ac:dyDescent="0.3">
      <c r="F52"/>
      <c r="G52"/>
    </row>
    <row r="53" spans="2:11" ht="15" customHeight="1" x14ac:dyDescent="0.3">
      <c r="F53"/>
      <c r="G53"/>
    </row>
    <row r="54" spans="2:11" ht="15" customHeight="1" x14ac:dyDescent="0.3">
      <c r="F54"/>
      <c r="G54"/>
    </row>
    <row r="55" spans="2:11" ht="15" customHeight="1" x14ac:dyDescent="0.3">
      <c r="F55"/>
      <c r="G55"/>
    </row>
    <row r="56" spans="2:11" ht="15" customHeight="1" x14ac:dyDescent="0.3">
      <c r="F56"/>
      <c r="G56"/>
    </row>
    <row r="57" spans="2:11" ht="15" customHeight="1" x14ac:dyDescent="0.3">
      <c r="F57"/>
      <c r="G57"/>
    </row>
    <row r="58" spans="2:11" ht="15" customHeight="1" x14ac:dyDescent="0.3">
      <c r="F58"/>
      <c r="G58"/>
    </row>
    <row r="59" spans="2:11" ht="15" customHeight="1" x14ac:dyDescent="0.3">
      <c r="F59"/>
      <c r="G59"/>
    </row>
    <row r="60" spans="2:11" ht="15" customHeight="1" x14ac:dyDescent="0.3">
      <c r="F60"/>
      <c r="G60"/>
    </row>
    <row r="61" spans="2:11" ht="15" customHeight="1" x14ac:dyDescent="0.3">
      <c r="F61"/>
      <c r="G61"/>
    </row>
    <row r="62" spans="2:11" ht="15" customHeight="1" x14ac:dyDescent="0.3">
      <c r="F62"/>
      <c r="G62"/>
    </row>
    <row r="63" spans="2:11" ht="15" customHeight="1" x14ac:dyDescent="0.3">
      <c r="F63"/>
      <c r="G63"/>
    </row>
    <row r="64" spans="2:11" ht="15" customHeight="1" x14ac:dyDescent="0.3">
      <c r="F64"/>
      <c r="G64"/>
    </row>
    <row r="65" spans="6:7" ht="15" customHeight="1" x14ac:dyDescent="0.3">
      <c r="F65"/>
      <c r="G65"/>
    </row>
    <row r="66" spans="6:7" ht="15" customHeight="1" x14ac:dyDescent="0.3">
      <c r="F66"/>
      <c r="G66"/>
    </row>
  </sheetData>
  <mergeCells count="4">
    <mergeCell ref="H8:I8"/>
    <mergeCell ref="J8:K8"/>
    <mergeCell ref="F8:G8"/>
    <mergeCell ref="D8:E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V Mochtín</vt:lpstr>
      <vt:lpstr>Předpoklady Mochtín V</vt:lpstr>
      <vt:lpstr>V Bystré</vt:lpstr>
      <vt:lpstr>Předpoklady Bystré</vt:lpstr>
      <vt:lpstr>V Kocourov</vt:lpstr>
      <vt:lpstr>Předpoklady Kocourov V</vt:lpstr>
      <vt:lpstr>VKV Mochtín</vt:lpstr>
      <vt:lpstr>Předpoklady Mochtín VKV</vt:lpstr>
      <vt:lpstr>VKV Srbice Hoštičky</vt:lpstr>
      <vt:lpstr>Předpoklady Srbice Hosticky</vt:lpstr>
      <vt:lpstr>&gt;&gt;podklady&gt;&gt;</vt:lpstr>
      <vt:lpstr>skutečné náklady 25</vt:lpstr>
      <vt:lpstr>skutečné náklady 23</vt:lpstr>
      <vt:lpstr>objemy vody</vt:lpstr>
      <vt:lpstr>Mochtín</vt:lpstr>
      <vt:lpstr>Srbice</vt:lpstr>
      <vt:lpstr>Hoštičky</vt:lpstr>
      <vt:lpstr>'Předpoklady Bystré'!Print_Area</vt:lpstr>
      <vt:lpstr>'Předpoklady Kocourov V'!Print_Area</vt:lpstr>
      <vt:lpstr>'Předpoklady Mochtín V'!Print_Area</vt:lpstr>
      <vt:lpstr>'Předpoklady Mochtín VKV'!Print_Area</vt:lpstr>
      <vt:lpstr>'Předpoklady Srbice Hosticky'!Print_Area</vt:lpstr>
      <vt:lpstr>'V Bystré'!Print_Area</vt:lpstr>
      <vt:lpstr>'V Kocourov'!Print_Area</vt:lpstr>
      <vt:lpstr>'V Mochtín'!Print_Area</vt:lpstr>
      <vt:lpstr>'VKV Mochtín'!Print_Area</vt:lpstr>
      <vt:lpstr>'VKV Srbice Hoštičky'!Print_Area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Chroust</dc:creator>
  <cp:lastModifiedBy>Petr Chroust</cp:lastModifiedBy>
  <dcterms:created xsi:type="dcterms:W3CDTF">2023-12-06T07:10:59Z</dcterms:created>
  <dcterms:modified xsi:type="dcterms:W3CDTF">2024-11-14T23:56:21Z</dcterms:modified>
</cp:coreProperties>
</file>